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19440" windowHeight="15600"/>
  </bookViews>
  <sheets>
    <sheet name="Παλαιές ασφ.εισφ ΟΑΕΕ" sheetId="23" r:id="rId1"/>
    <sheet name="Νεες κλιμακες φόρου" sheetId="3" r:id="rId2"/>
    <sheet name="Εισφορ.Αλληλεγγύης" sheetId="5" r:id="rId3"/>
    <sheet name="4172_el" sheetId="10" r:id="rId4"/>
    <sheet name="Υπολογισμοί" sheetId="20" r:id="rId5"/>
    <sheet name="Macro1" sheetId="11" state="hidden" r:id="rId6"/>
  </sheets>
  <definedNames>
    <definedName name="FiscalYearStartDate">#REF!</definedName>
  </definedNames>
  <calcPr calcId="171027"/>
  <fileRecoveryPr autoRecover="0"/>
</workbook>
</file>

<file path=xl/calcChain.xml><?xml version="1.0" encoding="utf-8"?>
<calcChain xmlns="http://schemas.openxmlformats.org/spreadsheetml/2006/main">
  <c r="F16" i="20"/>
  <c r="F20" s="1"/>
  <c r="G16" l="1"/>
  <c r="I16"/>
  <c r="G20" l="1"/>
  <c r="H16"/>
  <c r="K16"/>
  <c r="L16"/>
  <c r="J16"/>
  <c r="O21"/>
  <c r="M16" l="1"/>
  <c r="F13"/>
  <c r="F27" s="1"/>
  <c r="F19" i="23"/>
  <c r="F18"/>
  <c r="F17"/>
  <c r="F16"/>
  <c r="F15"/>
  <c r="F14"/>
  <c r="F13"/>
  <c r="F12"/>
  <c r="G39"/>
  <c r="G34"/>
  <c r="G35"/>
  <c r="G36"/>
  <c r="G37"/>
  <c r="G33"/>
  <c r="F17" i="20" l="1"/>
  <c r="F21"/>
  <c r="G13"/>
  <c r="G18"/>
  <c r="F18"/>
  <c r="G27" l="1"/>
  <c r="G17"/>
  <c r="L13"/>
  <c r="G21"/>
  <c r="H19" s="1"/>
  <c r="H20" s="1"/>
  <c r="G38" i="23"/>
  <c r="G32"/>
  <c r="G31"/>
  <c r="G30"/>
  <c r="G29"/>
  <c r="G28"/>
  <c r="G27"/>
  <c r="G26"/>
  <c r="H26" s="1"/>
  <c r="F11"/>
  <c r="F10"/>
  <c r="F9"/>
  <c r="F8"/>
  <c r="F7"/>
  <c r="F6"/>
  <c r="K13" i="20"/>
  <c r="J13"/>
  <c r="I13"/>
  <c r="H13"/>
  <c r="E30" i="3"/>
  <c r="G30" s="1"/>
  <c r="G31" s="1"/>
  <c r="E33"/>
  <c r="E34"/>
  <c r="F29"/>
  <c r="F30" s="1"/>
  <c r="F31" s="1"/>
  <c r="F32" s="1"/>
  <c r="F33" s="1"/>
  <c r="F34" s="1"/>
  <c r="E32"/>
  <c r="E31"/>
  <c r="E29"/>
  <c r="G29"/>
  <c r="F19"/>
  <c r="F18"/>
  <c r="E18"/>
  <c r="E19"/>
  <c r="E17"/>
  <c r="G17" s="1"/>
  <c r="H27" i="20" l="1"/>
  <c r="H17"/>
  <c r="I27"/>
  <c r="I17"/>
  <c r="K27"/>
  <c r="K17"/>
  <c r="L27"/>
  <c r="L17"/>
  <c r="J27"/>
  <c r="J17"/>
  <c r="G32" i="3"/>
  <c r="F22" i="20"/>
  <c r="G18" i="3"/>
  <c r="G19" s="1"/>
  <c r="G33"/>
  <c r="G34" s="1"/>
  <c r="M13" i="20"/>
  <c r="F23"/>
  <c r="G12" i="10"/>
  <c r="E15" i="5" s="1"/>
  <c r="K8" i="20" l="1"/>
  <c r="F25"/>
  <c r="M27"/>
  <c r="M17"/>
  <c r="F28"/>
  <c r="F29" s="1"/>
  <c r="H21"/>
  <c r="I19" s="1"/>
  <c r="F30" l="1"/>
  <c r="F32" s="1"/>
  <c r="F35" s="1"/>
  <c r="G13" i="10"/>
  <c r="E16" i="5" s="1"/>
  <c r="I20" i="20"/>
  <c r="K12" i="10"/>
  <c r="H12"/>
  <c r="I12" s="1"/>
  <c r="J12"/>
  <c r="F37" i="20" l="1"/>
  <c r="F36"/>
  <c r="I21"/>
  <c r="F38"/>
  <c r="L12" i="10"/>
  <c r="N15" i="5"/>
  <c r="G15"/>
  <c r="G14" i="10" l="1"/>
  <c r="E17" i="5" s="1"/>
  <c r="J19" i="20"/>
  <c r="K13" i="10"/>
  <c r="H13"/>
  <c r="I13" s="1"/>
  <c r="J13"/>
  <c r="O12"/>
  <c r="Q12" s="1"/>
  <c r="G22" i="20" s="1"/>
  <c r="J15" i="5"/>
  <c r="H15"/>
  <c r="I15" s="1"/>
  <c r="K15"/>
  <c r="J20" i="20" l="1"/>
  <c r="J21" s="1"/>
  <c r="G15" i="10" s="1"/>
  <c r="E18" i="5" s="1"/>
  <c r="G28" i="20"/>
  <c r="G29" s="1"/>
  <c r="L13" i="10"/>
  <c r="O13" s="1"/>
  <c r="Q13" s="1"/>
  <c r="H22" i="20" s="1"/>
  <c r="L15" i="5"/>
  <c r="N16"/>
  <c r="G16"/>
  <c r="K19" i="20" l="1"/>
  <c r="K20" s="1"/>
  <c r="K21" s="1"/>
  <c r="H28"/>
  <c r="H29" s="1"/>
  <c r="O15" i="5"/>
  <c r="G23" i="20" s="1"/>
  <c r="G30" s="1"/>
  <c r="J14" i="10"/>
  <c r="K14"/>
  <c r="H14"/>
  <c r="I14" s="1"/>
  <c r="K16" i="5"/>
  <c r="H16"/>
  <c r="I16" s="1"/>
  <c r="J16"/>
  <c r="G32" i="20" l="1"/>
  <c r="L19"/>
  <c r="L20" s="1"/>
  <c r="G25"/>
  <c r="G16" i="10"/>
  <c r="E19" i="5" s="1"/>
  <c r="L14" i="10"/>
  <c r="R12"/>
  <c r="L16" i="5"/>
  <c r="N17"/>
  <c r="G17"/>
  <c r="G35" i="20" l="1"/>
  <c r="G36"/>
  <c r="L21"/>
  <c r="G41"/>
  <c r="P21" s="1"/>
  <c r="G38"/>
  <c r="G37"/>
  <c r="K16" i="10"/>
  <c r="H16"/>
  <c r="I16" s="1"/>
  <c r="J16"/>
  <c r="G19" i="5"/>
  <c r="N19"/>
  <c r="O14" i="10"/>
  <c r="Q14" s="1"/>
  <c r="I22" i="20" s="1"/>
  <c r="S12" i="10"/>
  <c r="K17" i="5"/>
  <c r="H17"/>
  <c r="I17" s="1"/>
  <c r="J17"/>
  <c r="J15" i="10"/>
  <c r="K15"/>
  <c r="H15"/>
  <c r="I15" s="1"/>
  <c r="O16" i="5"/>
  <c r="H23" i="20" s="1"/>
  <c r="H30" s="1"/>
  <c r="G17" i="10" l="1"/>
  <c r="J17" s="1"/>
  <c r="M19" i="20"/>
  <c r="M20" s="1"/>
  <c r="H32"/>
  <c r="H37" s="1"/>
  <c r="I28"/>
  <c r="I29" s="1"/>
  <c r="H25"/>
  <c r="L16" i="10"/>
  <c r="O16" s="1"/>
  <c r="Q16" s="1"/>
  <c r="K22" i="20" s="1"/>
  <c r="K19" i="5"/>
  <c r="J19"/>
  <c r="H19"/>
  <c r="I19" s="1"/>
  <c r="L15" i="10"/>
  <c r="O15" s="1"/>
  <c r="Q15" s="1"/>
  <c r="J22" i="20" s="1"/>
  <c r="N18" i="5"/>
  <c r="G18"/>
  <c r="R13" i="10"/>
  <c r="L17" i="5"/>
  <c r="H35" i="20" l="1"/>
  <c r="H36"/>
  <c r="H17" i="10"/>
  <c r="I17" s="1"/>
  <c r="K17"/>
  <c r="E20" i="5"/>
  <c r="N20" s="1"/>
  <c r="M21" i="20"/>
  <c r="G18" i="10" s="1"/>
  <c r="H41" i="20"/>
  <c r="Q21" s="1"/>
  <c r="H38"/>
  <c r="J28"/>
  <c r="J29" s="1"/>
  <c r="K28"/>
  <c r="K29" s="1"/>
  <c r="L19" i="5"/>
  <c r="O19" s="1"/>
  <c r="R16" i="10" s="1"/>
  <c r="S16" s="1"/>
  <c r="O17" i="5"/>
  <c r="I23" i="20" s="1"/>
  <c r="I30" s="1"/>
  <c r="S13" i="10"/>
  <c r="H18" i="5"/>
  <c r="I18" s="1"/>
  <c r="J18"/>
  <c r="K18"/>
  <c r="L17" i="10" l="1"/>
  <c r="O17" s="1"/>
  <c r="Q17" s="1"/>
  <c r="L22" i="20" s="1"/>
  <c r="L28" s="1"/>
  <c r="L29" s="1"/>
  <c r="G20" i="5"/>
  <c r="H20" s="1"/>
  <c r="I20" s="1"/>
  <c r="H18" i="10"/>
  <c r="I18" s="1"/>
  <c r="E21" i="5"/>
  <c r="J18" i="10"/>
  <c r="K18"/>
  <c r="I32" i="20"/>
  <c r="I25"/>
  <c r="K23"/>
  <c r="K30" s="1"/>
  <c r="L18" i="5"/>
  <c r="R14" i="10"/>
  <c r="K20" i="5" l="1"/>
  <c r="J20"/>
  <c r="I35" i="20"/>
  <c r="I36"/>
  <c r="L18" i="10"/>
  <c r="O18" s="1"/>
  <c r="Q18" s="1"/>
  <c r="M22" i="20" s="1"/>
  <c r="M28" s="1"/>
  <c r="M29" s="1"/>
  <c r="G21" i="5"/>
  <c r="N21"/>
  <c r="I41" i="20"/>
  <c r="R21" s="1"/>
  <c r="I37"/>
  <c r="I38"/>
  <c r="K32"/>
  <c r="K25"/>
  <c r="S14" i="10"/>
  <c r="O18" i="5"/>
  <c r="J23" i="20" s="1"/>
  <c r="J30" s="1"/>
  <c r="L20" i="5" l="1"/>
  <c r="O20" s="1"/>
  <c r="R17" i="10" s="1"/>
  <c r="S17" s="1"/>
  <c r="K35" i="20"/>
  <c r="K36"/>
  <c r="H21" i="5"/>
  <c r="I21" s="1"/>
  <c r="J21"/>
  <c r="K21"/>
  <c r="K37" i="20"/>
  <c r="K41"/>
  <c r="T21" s="1"/>
  <c r="K38"/>
  <c r="J32"/>
  <c r="J25"/>
  <c r="R15" i="10"/>
  <c r="L23" i="20" l="1"/>
  <c r="L30" s="1"/>
  <c r="L32" s="1"/>
  <c r="J35"/>
  <c r="J36"/>
  <c r="L21" i="5"/>
  <c r="O21" s="1"/>
  <c r="J38" i="20"/>
  <c r="J37"/>
  <c r="J41"/>
  <c r="S21" s="1"/>
  <c r="S15" i="10"/>
  <c r="L25" i="20" l="1"/>
  <c r="L35"/>
  <c r="L36"/>
  <c r="R18" i="10"/>
  <c r="S18" s="1"/>
  <c r="M23" i="20"/>
  <c r="L37"/>
  <c r="L38"/>
  <c r="L41"/>
  <c r="U21" s="1"/>
  <c r="M30" l="1"/>
  <c r="M32" s="1"/>
  <c r="M25"/>
  <c r="M35" l="1"/>
  <c r="M36"/>
  <c r="M41"/>
  <c r="V21" s="1"/>
  <c r="M37"/>
  <c r="M38"/>
</calcChain>
</file>

<file path=xl/comments1.xml><?xml version="1.0" encoding="utf-8"?>
<comments xmlns="http://schemas.openxmlformats.org/spreadsheetml/2006/main">
  <authors>
    <author>GUS</author>
    <author>Kostas Gravias</author>
  </authors>
  <commentList>
    <comment ref="K3" authorId="0">
      <text>
        <r>
          <rPr>
            <b/>
            <sz val="9"/>
            <color indexed="81"/>
            <rFont val="Tahoma"/>
            <charset val="1"/>
          </rPr>
          <t>Επιλέξτε το ποσοστό επί του τζίρου σας στο οποίο σας γίνεται παρακράτηση φόρου 20%</t>
        </r>
      </text>
    </comment>
    <comment ref="E8" authorId="1">
      <text>
        <r>
          <rPr>
            <b/>
            <sz val="9"/>
            <color indexed="81"/>
            <rFont val="Tahoma"/>
            <family val="2"/>
            <charset val="161"/>
          </rPr>
          <t xml:space="preserve">TAXHEAVEN: 
</t>
        </r>
        <r>
          <rPr>
            <sz val="9"/>
            <color indexed="81"/>
            <rFont val="Tahoma"/>
            <family val="2"/>
            <charset val="161"/>
          </rPr>
          <t>Αυτόματος υπολογισμός</t>
        </r>
        <r>
          <rPr>
            <b/>
            <sz val="9"/>
            <color indexed="81"/>
            <rFont val="Tahoma"/>
            <family val="2"/>
            <charset val="161"/>
          </rPr>
          <t xml:space="preserve">. </t>
        </r>
        <r>
          <rPr>
            <sz val="9"/>
            <color indexed="81"/>
            <rFont val="Tahoma"/>
            <family val="2"/>
            <charset val="161"/>
          </rPr>
          <t>Έχει ληφθεί η παραδοχή ότι και στο φορ. έτος 2014 υπήρχε ο ίδιος τζίρος, τα ίδια καθαρά κέρδη και οι ίδιες παρακρατήσεις με αυτά που συμπληρώθηκαν ανωτέρω στα κίτρινα κελιά</t>
        </r>
      </text>
    </comment>
    <comment ref="E16" authorId="1">
      <text>
        <r>
          <rPr>
            <b/>
            <sz val="9"/>
            <color indexed="81"/>
            <rFont val="Tahoma"/>
            <family val="2"/>
            <charset val="161"/>
          </rPr>
          <t xml:space="preserve">TAXHEAVEN: </t>
        </r>
        <r>
          <rPr>
            <sz val="9"/>
            <color indexed="81"/>
            <rFont val="Tahoma"/>
            <family val="2"/>
            <charset val="161"/>
          </rPr>
          <t xml:space="preserve">Οι λοιπές δαπάνες έρχονται αυτόματα από το κελί "Λοιπές δαπάνες που έχουν καταχωρηθεί στα βιβλία (που αναγνωρίζονται)".
</t>
        </r>
      </text>
    </comment>
    <comment ref="E18" authorId="1">
      <text>
        <r>
          <rPr>
            <b/>
            <sz val="9"/>
            <color indexed="81"/>
            <rFont val="Tahoma"/>
            <family val="2"/>
            <charset val="161"/>
          </rPr>
          <t>TAXHEAVEN</t>
        </r>
        <r>
          <rPr>
            <sz val="9"/>
            <color indexed="81"/>
            <rFont val="Tahoma"/>
            <family val="2"/>
            <charset val="161"/>
          </rPr>
          <t>: Οι εισφορές έρχονται αυτόματα από το κελί "Παλαιές ασφαλιστικές εισφορές". Για τα έτη 2015 και 2016 μπαίνουν αυτόματα οι παλαιές εισφορές</t>
        </r>
      </text>
    </comment>
    <comment ref="E19" authorId="1">
      <text>
        <r>
          <rPr>
            <b/>
            <sz val="9"/>
            <color indexed="81"/>
            <rFont val="Tahoma"/>
            <family val="2"/>
            <charset val="161"/>
          </rPr>
          <t xml:space="preserve">TAXHEAVEN: </t>
        </r>
        <r>
          <rPr>
            <sz val="9"/>
            <color indexed="81"/>
            <rFont val="Tahoma"/>
            <family val="2"/>
            <charset val="161"/>
          </rPr>
          <t>Οι εισφορές έρχονται αυτόματα από το κελί "Νέες ασφαλιστικές εισφορές Ε.Φ.Κ.Α.". Για τα έτη 2017 και επόμενα αναγράφονται αυτόματα βάσει του γινομένου του καθαρού φορολογητέου εισοδήματος του αμέσως προηγούμενου έτους επί του ποσοστού 26,95%. Προσοχή: Υπάρχει όμως το ελάχιστο και το μέγιστο όριο (βλ. min &amp; max).</t>
        </r>
      </text>
    </comment>
    <comment ref="E20" authorId="1">
      <text>
        <r>
          <rPr>
            <b/>
            <sz val="9"/>
            <color indexed="81"/>
            <rFont val="Tahoma"/>
            <family val="2"/>
            <charset val="161"/>
          </rPr>
          <t xml:space="preserve">TAXHEAVEN: </t>
        </r>
        <r>
          <rPr>
            <sz val="9"/>
            <color indexed="81"/>
            <rFont val="Tahoma"/>
            <family val="2"/>
            <charset val="161"/>
          </rPr>
          <t xml:space="preserve">
Αυτόματη άθροιση του (3+4)
</t>
        </r>
      </text>
    </comment>
    <comment ref="E21" authorId="1">
      <text>
        <r>
          <rPr>
            <b/>
            <sz val="9"/>
            <color indexed="81"/>
            <rFont val="Tahoma"/>
            <family val="2"/>
            <charset val="161"/>
          </rPr>
          <t xml:space="preserve">TAXHEAVEN: </t>
        </r>
        <r>
          <rPr>
            <sz val="9"/>
            <color indexed="81"/>
            <rFont val="Tahoma"/>
            <family val="2"/>
            <charset val="161"/>
          </rPr>
          <t xml:space="preserve">Αυτόματη αφαίρεση του 1 μείον 5 
</t>
        </r>
      </text>
    </comment>
    <comment ref="E22" authorId="1">
      <text>
        <r>
          <rPr>
            <b/>
            <sz val="9"/>
            <color indexed="81"/>
            <rFont val="Tahoma"/>
            <family val="2"/>
            <charset val="161"/>
          </rPr>
          <t xml:space="preserve">TAXHEAVEN: </t>
        </r>
        <r>
          <rPr>
            <sz val="9"/>
            <color indexed="81"/>
            <rFont val="Tahoma"/>
            <family val="2"/>
            <charset val="161"/>
          </rPr>
          <t xml:space="preserve">Αυτόματος υπολογισμός του φόρου εισοδήματος
</t>
        </r>
      </text>
    </comment>
    <comment ref="E23" authorId="1">
      <text>
        <r>
          <rPr>
            <b/>
            <sz val="9"/>
            <color indexed="81"/>
            <rFont val="Tahoma"/>
            <family val="2"/>
            <charset val="161"/>
          </rPr>
          <t xml:space="preserve">TAXHEAVEN: </t>
        </r>
        <r>
          <rPr>
            <sz val="9"/>
            <color indexed="81"/>
            <rFont val="Tahoma"/>
            <family val="2"/>
            <charset val="161"/>
          </rPr>
          <t xml:space="preserve">Αυτόματος υπολογισμός της εισφοράς αλληλεγγύης
</t>
        </r>
      </text>
    </comment>
    <comment ref="E24" authorId="1">
      <text>
        <r>
          <rPr>
            <b/>
            <sz val="9"/>
            <color indexed="81"/>
            <rFont val="Tahoma"/>
            <family val="2"/>
            <charset val="161"/>
          </rPr>
          <t xml:space="preserve">TAXHEAVEN: </t>
        </r>
        <r>
          <rPr>
            <sz val="9"/>
            <color indexed="81"/>
            <rFont val="Tahoma"/>
            <family val="2"/>
            <charset val="161"/>
          </rPr>
          <t xml:space="preserve">Αυτόματη αναγραφή του τέλους επιτηδεύματος
</t>
        </r>
      </text>
    </comment>
    <comment ref="E25" authorId="1">
      <text>
        <r>
          <rPr>
            <b/>
            <sz val="9"/>
            <color indexed="81"/>
            <rFont val="Tahoma"/>
            <family val="2"/>
            <charset val="161"/>
          </rPr>
          <t xml:space="preserve">TAXHEAVEN: </t>
        </r>
        <r>
          <rPr>
            <sz val="9"/>
            <color indexed="81"/>
            <rFont val="Tahoma"/>
            <family val="2"/>
            <charset val="161"/>
          </rPr>
          <t xml:space="preserve">Αυτόματος υπολογισμός: Το υπόλοιπο της αφαίρεσης του 6 μείον το (7+8+9).
 </t>
        </r>
      </text>
    </comment>
    <comment ref="E27" authorId="1">
      <text>
        <r>
          <rPr>
            <b/>
            <sz val="9"/>
            <color indexed="81"/>
            <rFont val="Tahoma"/>
            <family val="2"/>
            <charset val="161"/>
          </rPr>
          <t xml:space="preserve">TAXHEAVEN: </t>
        </r>
        <r>
          <rPr>
            <sz val="9"/>
            <color indexed="81"/>
            <rFont val="Tahoma"/>
            <family val="2"/>
            <charset val="161"/>
          </rPr>
          <t xml:space="preserve">Αυτόματος μεταφορά από το κελί "Ποσοστό παρακρατήσεων στο έτος (επί του εισοδήματος)
</t>
        </r>
      </text>
    </comment>
    <comment ref="E28" authorId="1">
      <text>
        <r>
          <rPr>
            <b/>
            <sz val="9"/>
            <color indexed="81"/>
            <rFont val="Tahoma"/>
            <family val="2"/>
            <charset val="161"/>
          </rPr>
          <t xml:space="preserve">TAXHEAVEN: </t>
        </r>
        <r>
          <rPr>
            <sz val="9"/>
            <color indexed="81"/>
            <rFont val="Tahoma"/>
            <family val="2"/>
            <charset val="161"/>
          </rPr>
          <t xml:space="preserve">Αυτόματος υπολογισμός προκαταβολής (με ποσοστό 75% για το 2015 και 100% για τα υπόλοιπα έτη)
</t>
        </r>
      </text>
    </comment>
    <comment ref="E29" authorId="1">
      <text>
        <r>
          <rPr>
            <b/>
            <sz val="9"/>
            <color indexed="81"/>
            <rFont val="Tahoma"/>
            <family val="2"/>
            <charset val="161"/>
          </rPr>
          <t xml:space="preserve">TAXHEAVEN: </t>
        </r>
        <r>
          <rPr>
            <sz val="9"/>
            <color indexed="81"/>
            <rFont val="Tahoma"/>
            <charset val="1"/>
          </rPr>
          <t xml:space="preserve">Αυτόματος υπολογισμός (12 μείον 11)
</t>
        </r>
      </text>
    </comment>
    <comment ref="E30" authorId="1">
      <text>
        <r>
          <rPr>
            <b/>
            <sz val="9"/>
            <color indexed="81"/>
            <rFont val="Tahoma"/>
            <family val="2"/>
            <charset val="161"/>
          </rPr>
          <t xml:space="preserve">TAXHEAVEN: </t>
        </r>
        <r>
          <rPr>
            <sz val="9"/>
            <color indexed="81"/>
            <rFont val="Tahoma"/>
            <family val="2"/>
            <charset val="161"/>
          </rPr>
          <t xml:space="preserve">Αυτόματος υπολογισμός: Το υπόλοιπο της αφαίρεσης του (7+8+9) μείον το 13 μείον το ποσό της πρακαταβολής του έτους 2014 (όπως έχει εισαχθεί στο σχετικό κελί)
</t>
        </r>
      </text>
    </comment>
    <comment ref="E32" authorId="1">
      <text>
        <r>
          <rPr>
            <b/>
            <sz val="9"/>
            <color indexed="81"/>
            <rFont val="Tahoma"/>
            <family val="2"/>
            <charset val="161"/>
          </rPr>
          <t xml:space="preserve">TAXHEAVEN: </t>
        </r>
        <r>
          <rPr>
            <sz val="9"/>
            <color indexed="81"/>
            <rFont val="Tahoma"/>
            <family val="2"/>
            <charset val="161"/>
          </rPr>
          <t xml:space="preserve">Το υπόλοιπο της αφαίρεσης του 6 μείον το 11 μείον το 14
</t>
        </r>
      </text>
    </comment>
  </commentList>
</comments>
</file>

<file path=xl/sharedStrings.xml><?xml version="1.0" encoding="utf-8"?>
<sst xmlns="http://schemas.openxmlformats.org/spreadsheetml/2006/main" count="135" uniqueCount="96">
  <si>
    <t>Τέλος επιτηδεύματος</t>
  </si>
  <si>
    <t xml:space="preserve">ΚΛΙΜΑΚΑ  ΥΠΟΛΟΓΙΣΜΟΥ ΦΟΡΟΥ ΕΙΣΟΔΗΜΑΤΟΣ  </t>
  </si>
  <si>
    <t>ΣΥΝΟΛΟ ΕΙΣΟΔΗΜΑΤΟΣ</t>
  </si>
  <si>
    <t>ΦΟΡ.ΣΥΝΤ</t>
  </si>
  <si>
    <t>ΕΤΗΣΙΟ ΕΙΣΟΔΗΜΑ</t>
  </si>
  <si>
    <t>Εισόδημα Ετήσιο</t>
  </si>
  <si>
    <t>Φόρος</t>
  </si>
  <si>
    <t>Κλιµάκιο εισοδήµατος (ευρώ)</t>
  </si>
  <si>
    <t>Φορολογικός συντελεστής %</t>
  </si>
  <si>
    <t>Φόρος κλιµακίου (ευρώ)</t>
  </si>
  <si>
    <t>Σύνολο</t>
  </si>
  <si>
    <t>Εισοδήµατος</t>
  </si>
  <si>
    <t>Φόρου</t>
  </si>
  <si>
    <t>(ευρώ)</t>
  </si>
  <si>
    <t>Υπερβάλλον</t>
  </si>
  <si>
    <t>Υπερβάλων</t>
  </si>
  <si>
    <t>Εισφορά αλληλεγγύης</t>
  </si>
  <si>
    <t>Οικονομικά στοιχεία</t>
  </si>
  <si>
    <t>Λοιπές δαπάνες</t>
  </si>
  <si>
    <t>Σύνολο δαπανών</t>
  </si>
  <si>
    <t xml:space="preserve">        </t>
  </si>
  <si>
    <t> 01/01/2010 - ΣΗΜΕΡΑ</t>
  </si>
  <si>
    <t>   152,41+58,30=210,71</t>
  </si>
  <si>
    <t>   186,14+71,20=257,34</t>
  </si>
  <si>
    <t>   222,20+84,99=307,19</t>
  </si>
  <si>
    <t>   242,58+92,79=335,37</t>
  </si>
  <si>
    <t> 279,81+107,03=386,84</t>
  </si>
  <si>
    <t> 315,59+120,71=436,30</t>
  </si>
  <si>
    <t> 337,46+129,08=466,54</t>
  </si>
  <si>
    <t> 364,90+139,57=504,47</t>
  </si>
  <si>
    <t> 389,55+149,00=538,55</t>
  </si>
  <si>
    <t> 414,22+158,44=572,66</t>
  </si>
  <si>
    <t> 438,87+167,87=606,74</t>
  </si>
  <si>
    <t> 463,52+177,30=640,82</t>
  </si>
  <si>
    <t> 488,19+186,73=674,92</t>
  </si>
  <si>
    <t> 512,85+196,16=709,01</t>
  </si>
  <si>
    <t>ΕΝΕΡΓΟΙ ΚΑΙ ΠΡΟΑΙΡΕΤΙΚΑ ΑΣΦΑΛΙΣΜΕΝΟΙ</t>
  </si>
  <si>
    <t>ΑΠΟ 01/01/2011</t>
  </si>
  <si>
    <t>Π01</t>
  </si>
  <si>
    <t>152,41</t>
  </si>
  <si>
    <t>92,79</t>
  </si>
  <si>
    <t>Π02</t>
  </si>
  <si>
    <t>186,14</t>
  </si>
  <si>
    <t>Π03</t>
  </si>
  <si>
    <t>222,20</t>
  </si>
  <si>
    <t>Π04</t>
  </si>
  <si>
    <t>242,58</t>
  </si>
  <si>
    <t>Π05</t>
  </si>
  <si>
    <t>279,81</t>
  </si>
  <si>
    <t>Π06</t>
  </si>
  <si>
    <t>315,59</t>
  </si>
  <si>
    <t>Π07</t>
  </si>
  <si>
    <t>337,46</t>
  </si>
  <si>
    <t>Π08</t>
  </si>
  <si>
    <t>364,90</t>
  </si>
  <si>
    <t>Π09</t>
  </si>
  <si>
    <t>389,55</t>
  </si>
  <si>
    <t>Π10</t>
  </si>
  <si>
    <t>414,22</t>
  </si>
  <si>
    <t>Π11</t>
  </si>
  <si>
    <t>438,87</t>
  </si>
  <si>
    <t>Π12</t>
  </si>
  <si>
    <t>463,52</t>
  </si>
  <si>
    <t>Π13</t>
  </si>
  <si>
    <t>488,19</t>
  </si>
  <si>
    <t>Π14</t>
  </si>
  <si>
    <t>512,85</t>
  </si>
  <si>
    <t>30 Υπέρ ΟΑΕΔ - ΟΕΕ</t>
  </si>
  <si>
    <t>Παλαιές ασφαλιστικές εισφορές</t>
  </si>
  <si>
    <t>180 σε όλο το έτος</t>
  </si>
  <si>
    <t>Εισφορά</t>
  </si>
  <si>
    <t>Προκαταβολή φόρου</t>
  </si>
  <si>
    <t>Τελικό λογιστικό ποσό</t>
  </si>
  <si>
    <t>Φορολογητέο εισόδημα</t>
  </si>
  <si>
    <t>14</t>
  </si>
  <si>
    <t>Φόρος εισοδήματος</t>
  </si>
  <si>
    <t>Καταβλητέο ποσό με τη δήλωση εισοδήματος</t>
  </si>
  <si>
    <t xml:space="preserve">Παρακρατήσεις φόρου εντός του έτους </t>
  </si>
  <si>
    <t>Ακαθάριστο εισόδημα (τζίρος)</t>
  </si>
  <si>
    <t>Λοιπές δαπάνες που έχουν καταχωρηθεί στα βιβλία (που αναγνωρίζονται)</t>
  </si>
  <si>
    <t>Προκαταβολή φόρου φορ. έτους 2014</t>
  </si>
  <si>
    <t>Ε.Φ.Κ.Α.(min)</t>
  </si>
  <si>
    <t>Ε.Φ.Κ.Α. (max)</t>
  </si>
  <si>
    <t>Ακαθάριστα έσοδα προ εισφορών (τζίρος)</t>
  </si>
  <si>
    <t>Ασφ. εισφ. Ο.Α.Ε.Ε. (παλαιό καθεστώς)</t>
  </si>
  <si>
    <t>Ποσό που απομένει στον φορολογούμενο</t>
  </si>
  <si>
    <t>Ποσοστό των καθαρών κερδών που απομένει στον φορολογούμενο</t>
  </si>
  <si>
    <t>Ταμειακή επιβάρυνση ή ελάφρυνση σε σχέση με το 2015</t>
  </si>
  <si>
    <t>Ασφ. εισφ. Ε.Φ.Κ.Α. (νέο καθεστώς)</t>
  </si>
  <si>
    <t>Νέες εισφορές  Ε.Φ.Κ.Α. (σύνταξη &amp; υγ. περίθαλψη)</t>
  </si>
  <si>
    <t>Τελική προκαταβολή (μείον παρακρατήσεις)</t>
  </si>
  <si>
    <t>Ποσοστό (%) παρακρατήσεων στο έτος (επί του εισοδήματος)</t>
  </si>
  <si>
    <t>Ποσοστό των καθαρών κερδών που αποδίδεται στο κράτος</t>
  </si>
  <si>
    <t xml:space="preserve">Εισόδημα πρό Εισφορών </t>
  </si>
  <si>
    <t>Ποσοστό που απομένει στο εισόδημα  προ εισφορών</t>
  </si>
  <si>
    <t>Ποοσοστό του εισδοήματο προ φόρων και εισφορών που αποδίδεται  στο κράτος</t>
  </si>
</sst>
</file>

<file path=xl/styles.xml><?xml version="1.0" encoding="utf-8"?>
<styleSheet xmlns="http://schemas.openxmlformats.org/spreadsheetml/2006/main">
  <numFmts count="3">
    <numFmt numFmtId="164" formatCode="mmm"/>
    <numFmt numFmtId="165" formatCode="dd"/>
    <numFmt numFmtId="166" formatCode="0_);\-0_)"/>
  </numFmts>
  <fonts count="43">
    <font>
      <sz val="10"/>
      <color theme="1" tint="0.14996795556505021"/>
      <name val="Calibri"/>
      <family val="2"/>
      <scheme val="minor"/>
    </font>
    <font>
      <sz val="11"/>
      <color theme="1"/>
      <name val="Calibri"/>
      <family val="2"/>
      <scheme val="minor"/>
    </font>
    <font>
      <sz val="10"/>
      <name val="Arial"/>
      <family val="2"/>
      <charset val="161"/>
    </font>
    <font>
      <b/>
      <u/>
      <sz val="10"/>
      <color indexed="9"/>
      <name val="Arial Greek"/>
      <family val="2"/>
      <charset val="161"/>
    </font>
    <font>
      <b/>
      <u/>
      <sz val="10"/>
      <color indexed="10"/>
      <name val="Arial Greek"/>
      <family val="2"/>
      <charset val="161"/>
    </font>
    <font>
      <sz val="10"/>
      <color indexed="63"/>
      <name val="Arial"/>
      <family val="2"/>
    </font>
    <font>
      <b/>
      <u/>
      <sz val="8"/>
      <color indexed="10"/>
      <name val="Arial Greek"/>
      <family val="2"/>
      <charset val="161"/>
    </font>
    <font>
      <sz val="10"/>
      <color indexed="63"/>
      <name val="Arial"/>
      <family val="2"/>
      <charset val="161"/>
    </font>
    <font>
      <sz val="11"/>
      <name val="Times New Roman Greek"/>
      <charset val="161"/>
    </font>
    <font>
      <sz val="10"/>
      <color indexed="8"/>
      <name val="Arial"/>
      <family val="2"/>
      <charset val="161"/>
    </font>
    <font>
      <sz val="11"/>
      <color rgb="FFFFFFFF"/>
      <name val="Calibri"/>
      <family val="2"/>
      <scheme val="minor"/>
    </font>
    <font>
      <sz val="11"/>
      <color rgb="FF000000"/>
      <name val="Calibri"/>
      <family val="2"/>
      <scheme val="minor"/>
    </font>
    <font>
      <sz val="9"/>
      <color theme="1"/>
      <name val="Calibri"/>
      <family val="2"/>
      <charset val="161"/>
      <scheme val="minor"/>
    </font>
    <font>
      <sz val="10"/>
      <color theme="1"/>
      <name val="Arial"/>
      <family val="2"/>
      <charset val="161"/>
    </font>
    <font>
      <b/>
      <sz val="10"/>
      <color theme="1"/>
      <name val="Arial"/>
      <family val="2"/>
      <charset val="161"/>
    </font>
    <font>
      <b/>
      <sz val="10"/>
      <color theme="1"/>
      <name val="Calibri"/>
      <family val="2"/>
      <charset val="161"/>
      <scheme val="minor"/>
    </font>
    <font>
      <b/>
      <sz val="11"/>
      <color theme="1"/>
      <name val="Calibri"/>
      <family val="2"/>
      <charset val="161"/>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8"/>
      <color theme="4"/>
      <name val="Calibri Light"/>
      <family val="2"/>
      <scheme val="major"/>
    </font>
    <font>
      <sz val="11"/>
      <color theme="1" tint="0.14975432599871821"/>
      <name val="Calibri Light"/>
      <family val="2"/>
      <scheme val="major"/>
    </font>
    <font>
      <sz val="18"/>
      <color theme="1" tint="0.14996795556505021"/>
      <name val="Calibri Light"/>
      <family val="2"/>
      <scheme val="major"/>
    </font>
    <font>
      <sz val="10"/>
      <color theme="1" tint="0.14999847407452621"/>
      <name val="Calibri"/>
      <family val="2"/>
      <scheme val="minor"/>
    </font>
    <font>
      <sz val="12"/>
      <color theme="3"/>
      <name val="Calibri Light"/>
      <family val="2"/>
      <scheme val="major"/>
    </font>
    <font>
      <sz val="11"/>
      <color theme="1" tint="0.14993743705557422"/>
      <name val="Calibri Light"/>
      <family val="2"/>
      <scheme val="major"/>
    </font>
    <font>
      <sz val="10"/>
      <color theme="0"/>
      <name val="Calibri"/>
      <family val="2"/>
      <scheme val="minor"/>
    </font>
    <font>
      <b/>
      <sz val="11"/>
      <color theme="0"/>
      <name val="Calibri"/>
      <family val="2"/>
      <charset val="161"/>
      <scheme val="minor"/>
    </font>
    <font>
      <b/>
      <sz val="12"/>
      <name val="Calibri"/>
      <family val="2"/>
      <charset val="161"/>
      <scheme val="minor"/>
    </font>
    <font>
      <b/>
      <sz val="10"/>
      <name val="Calibri"/>
      <family val="2"/>
      <charset val="161"/>
      <scheme val="minor"/>
    </font>
    <font>
      <b/>
      <sz val="10"/>
      <color theme="1" tint="0.499984740745262"/>
      <name val="Calibri"/>
      <family val="2"/>
      <charset val="161"/>
      <scheme val="minor"/>
    </font>
    <font>
      <b/>
      <sz val="11"/>
      <color theme="1" tint="0.34998626667073579"/>
      <name val="Calibri"/>
      <family val="2"/>
      <charset val="161"/>
      <scheme val="minor"/>
    </font>
    <font>
      <b/>
      <sz val="10"/>
      <color theme="1" tint="0.34998626667073579"/>
      <name val="Calibri"/>
      <family val="2"/>
      <charset val="161"/>
      <scheme val="minor"/>
    </font>
    <font>
      <sz val="16"/>
      <color theme="1" tint="0.34998626667073579"/>
      <name val="Calibri"/>
      <family val="2"/>
      <charset val="161"/>
      <scheme val="minor"/>
    </font>
    <font>
      <sz val="9"/>
      <color indexed="81"/>
      <name val="Tahoma"/>
      <family val="2"/>
      <charset val="161"/>
    </font>
    <font>
      <b/>
      <sz val="9"/>
      <color indexed="81"/>
      <name val="Tahoma"/>
      <family val="2"/>
      <charset val="161"/>
    </font>
    <font>
      <b/>
      <i/>
      <sz val="11"/>
      <name val="Calibri"/>
      <family val="2"/>
      <charset val="161"/>
      <scheme val="minor"/>
    </font>
    <font>
      <sz val="11"/>
      <color rgb="FF9C6500"/>
      <name val="Calibri"/>
      <family val="2"/>
      <charset val="161"/>
      <scheme val="minor"/>
    </font>
    <font>
      <sz val="9"/>
      <color indexed="81"/>
      <name val="Tahoma"/>
      <charset val="1"/>
    </font>
    <font>
      <sz val="10"/>
      <color theme="9" tint="-0.499984740745262"/>
      <name val="Calibri"/>
      <family val="2"/>
      <charset val="161"/>
      <scheme val="minor"/>
    </font>
    <font>
      <b/>
      <sz val="9"/>
      <color indexed="81"/>
      <name val="Tahoma"/>
      <charset val="1"/>
    </font>
    <font>
      <sz val="10"/>
      <color theme="4" tint="-0.249977111117893"/>
      <name val="Calibri"/>
      <family val="2"/>
      <charset val="161"/>
      <scheme val="minor"/>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rgb="FFCC3300"/>
        <bgColor indexed="64"/>
      </patternFill>
    </fill>
    <fill>
      <patternFill patternType="solid">
        <fgColor rgb="FFDFDFDF"/>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7"/>
      </patternFill>
    </fill>
    <fill>
      <patternFill patternType="solid">
        <fgColor theme="7" tint="0.79998168889431442"/>
        <bgColor indexed="65"/>
      </patternFill>
    </fill>
    <fill>
      <patternFill patternType="solid">
        <fgColor rgb="FF65D2DD"/>
        <bgColor indexed="64"/>
      </patternFill>
    </fill>
    <fill>
      <patternFill patternType="solid">
        <fgColor rgb="FFF8F8F8"/>
        <bgColor indexed="64"/>
      </patternFill>
    </fill>
    <fill>
      <patternFill patternType="solid">
        <fgColor rgb="FFA2D8E3"/>
        <bgColor indexed="64"/>
      </patternFill>
    </fill>
    <fill>
      <patternFill patternType="solid">
        <fgColor rgb="FFF6BC94"/>
        <bgColor indexed="64"/>
      </patternFill>
    </fill>
    <fill>
      <patternFill patternType="solid">
        <fgColor rgb="FFBCE5F2"/>
        <bgColor indexed="64"/>
      </patternFill>
    </fill>
    <fill>
      <patternFill patternType="solid">
        <fgColor rgb="FFAD4B0F"/>
        <bgColor indexed="64"/>
      </patternFill>
    </fill>
    <fill>
      <patternFill patternType="solid">
        <fgColor rgb="FFA47D00"/>
        <bgColor indexed="64"/>
      </patternFill>
    </fill>
    <fill>
      <patternFill patternType="solid">
        <fgColor rgb="FF1B9BB5"/>
        <bgColor indexed="64"/>
      </patternFill>
    </fill>
    <fill>
      <patternFill patternType="solid">
        <fgColor rgb="FFFFFFCC"/>
        <bgColor indexed="64"/>
      </patternFill>
    </fill>
    <fill>
      <patternFill patternType="solid">
        <fgColor rgb="FFDDDDDD"/>
        <bgColor indexed="64"/>
      </patternFill>
    </fill>
    <fill>
      <patternFill patternType="solid">
        <fgColor rgb="FFFFEB9C"/>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B2B2B2"/>
      </left>
      <right style="thin">
        <color rgb="FFB2B2B2"/>
      </right>
      <top style="thin">
        <color rgb="FFB2B2B2"/>
      </top>
      <bottom style="thin">
        <color rgb="FFB2B2B2"/>
      </bottom>
      <diagonal/>
    </border>
    <border>
      <left style="dotted">
        <color theme="0" tint="-0.34998626667073579"/>
      </left>
      <right style="dotted">
        <color theme="0" tint="-0.34998626667073579"/>
      </right>
      <top/>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style="thin">
        <color rgb="FFB2B2B2"/>
      </left>
      <right/>
      <top style="thin">
        <color rgb="FFB2B2B2"/>
      </top>
      <bottom style="thin">
        <color indexed="64"/>
      </bottom>
      <diagonal/>
    </border>
    <border>
      <left/>
      <right style="thin">
        <color rgb="FFB2B2B2"/>
      </right>
      <top style="thin">
        <color rgb="FFB2B2B2"/>
      </top>
      <bottom style="thin">
        <color indexed="64"/>
      </bottom>
      <diagonal/>
    </border>
    <border>
      <left style="hair">
        <color rgb="FFB2B2B2"/>
      </left>
      <right style="hair">
        <color rgb="FFB2B2B2"/>
      </right>
      <top style="hair">
        <color rgb="FFB2B2B2"/>
      </top>
      <bottom style="hair">
        <color rgb="FFB2B2B2"/>
      </bottom>
      <diagonal/>
    </border>
    <border>
      <left style="hair">
        <color rgb="FFB2B2B2"/>
      </left>
      <right style="hair">
        <color rgb="FFB2B2B2"/>
      </right>
      <top style="hair">
        <color rgb="FFB2B2B2"/>
      </top>
      <bottom/>
      <diagonal/>
    </border>
    <border>
      <left/>
      <right style="dotted">
        <color theme="0" tint="-0.34998626667073579"/>
      </right>
      <top/>
      <bottom style="medium">
        <color rgb="FF1B9BB5"/>
      </bottom>
      <diagonal/>
    </border>
    <border>
      <left style="dotted">
        <color theme="0" tint="-0.34998626667073579"/>
      </left>
      <right style="dotted">
        <color theme="0" tint="-0.34998626667073579"/>
      </right>
      <top/>
      <bottom style="medium">
        <color rgb="FF1B9BB5"/>
      </bottom>
      <diagonal/>
    </border>
    <border>
      <left style="dotted">
        <color rgb="FFF8F8F8"/>
      </left>
      <right style="dotted">
        <color rgb="FFF8F8F8"/>
      </right>
      <top style="dotted">
        <color rgb="FFF8F8F8"/>
      </top>
      <bottom style="dotted">
        <color rgb="FFF8F8F8"/>
      </bottom>
      <diagonal/>
    </border>
    <border>
      <left style="hair">
        <color theme="0"/>
      </left>
      <right style="hair">
        <color theme="0"/>
      </right>
      <top style="hair">
        <color theme="0"/>
      </top>
      <bottom style="hair">
        <color theme="0"/>
      </bottom>
      <diagonal/>
    </border>
    <border>
      <left style="hair">
        <color theme="4"/>
      </left>
      <right style="hair">
        <color theme="4"/>
      </right>
      <top style="double">
        <color theme="4"/>
      </top>
      <bottom style="double">
        <color theme="4"/>
      </bottom>
      <diagonal/>
    </border>
    <border>
      <left style="thin">
        <color theme="0"/>
      </left>
      <right style="thin">
        <color theme="0"/>
      </right>
      <top/>
      <bottom style="medium">
        <color rgb="FF1B9BB5"/>
      </bottom>
      <diagonal/>
    </border>
    <border>
      <left style="hair">
        <color auto="1"/>
      </left>
      <right style="hair">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s>
  <cellStyleXfs count="24">
    <xf numFmtId="0" fontId="0" fillId="0" borderId="0">
      <alignment vertical="center"/>
    </xf>
    <xf numFmtId="0" fontId="2" fillId="0" borderId="0"/>
    <xf numFmtId="0" fontId="2" fillId="0" borderId="0"/>
    <xf numFmtId="0" fontId="8"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7" fillId="8" borderId="11" applyNumberFormat="0" applyFont="0" applyAlignment="0" applyProtection="0"/>
    <xf numFmtId="0" fontId="18" fillId="0" borderId="0" applyNumberFormat="0" applyFill="0" applyBorder="0" applyAlignment="0" applyProtection="0"/>
    <xf numFmtId="0" fontId="19" fillId="0" borderId="24" applyNumberFormat="0" applyFill="0" applyAlignment="0" applyProtection="0"/>
    <xf numFmtId="0" fontId="20" fillId="9" borderId="0" applyNumberFormat="0" applyBorder="0" applyAlignment="0" applyProtection="0"/>
    <xf numFmtId="0" fontId="1" fillId="17" borderId="0" applyNumberFormat="0" applyBorder="0" applyAlignment="0" applyProtection="0"/>
    <xf numFmtId="0" fontId="1" fillId="15" borderId="22" applyProtection="0"/>
    <xf numFmtId="0" fontId="20" fillId="16" borderId="0" applyNumberFormat="0" applyBorder="0" applyProtection="0"/>
    <xf numFmtId="0" fontId="20" fillId="18" borderId="0" applyNumberFormat="0" applyBorder="0" applyAlignment="0" applyProtection="0"/>
    <xf numFmtId="0" fontId="20" fillId="11" borderId="0" applyNumberFormat="0" applyBorder="0" applyAlignment="0" applyProtection="0"/>
    <xf numFmtId="0" fontId="1" fillId="12" borderId="23" applyNumberFormat="0" applyAlignment="0" applyProtection="0"/>
    <xf numFmtId="164" fontId="23" fillId="0" borderId="12">
      <alignment horizontal="right" vertical="center" wrapText="1" indent="1"/>
    </xf>
    <xf numFmtId="166" fontId="24" fillId="15" borderId="20" applyFont="0" applyAlignment="0">
      <alignment vertical="center"/>
    </xf>
    <xf numFmtId="0" fontId="20" fillId="10" borderId="11" applyAlignment="0">
      <alignment horizontal="right" vertical="center" wrapText="1"/>
    </xf>
    <xf numFmtId="0" fontId="16" fillId="13" borderId="18">
      <alignment horizontal="right" vertical="center" wrapText="1"/>
    </xf>
    <xf numFmtId="0" fontId="38" fillId="23" borderId="0" applyNumberFormat="0" applyBorder="0" applyAlignment="0" applyProtection="0"/>
  </cellStyleXfs>
  <cellXfs count="155">
    <xf numFmtId="0" fontId="0" fillId="0" borderId="0" xfId="0">
      <alignment vertical="center"/>
    </xf>
    <xf numFmtId="0" fontId="0" fillId="0" borderId="0" xfId="0" applyAlignment="1">
      <alignment horizontal="center"/>
    </xf>
    <xf numFmtId="0" fontId="2" fillId="0" borderId="0" xfId="1" applyAlignment="1">
      <alignment horizontal="center"/>
    </xf>
    <xf numFmtId="0" fontId="4" fillId="0" borderId="0" xfId="2" applyFont="1" applyFill="1" applyBorder="1" applyAlignment="1" applyProtection="1">
      <protection hidden="1"/>
    </xf>
    <xf numFmtId="4" fontId="5" fillId="0" borderId="0" xfId="2" applyNumberFormat="1" applyFont="1" applyFill="1" applyBorder="1" applyProtection="1">
      <protection hidden="1"/>
    </xf>
    <xf numFmtId="0" fontId="2" fillId="0" borderId="0" xfId="1" applyFill="1" applyBorder="1"/>
    <xf numFmtId="0" fontId="6" fillId="2" borderId="1" xfId="2" applyFont="1" applyFill="1" applyBorder="1" applyAlignment="1" applyProtection="1">
      <alignment horizontal="center"/>
      <protection locked="0"/>
    </xf>
    <xf numFmtId="0" fontId="6" fillId="2" borderId="2" xfId="2" applyFont="1" applyFill="1" applyBorder="1" applyAlignment="1" applyProtection="1">
      <alignment horizontal="center"/>
      <protection locked="0"/>
    </xf>
    <xf numFmtId="0" fontId="6" fillId="0" borderId="0" xfId="2" applyFont="1" applyFill="1" applyBorder="1" applyAlignment="1" applyProtection="1">
      <alignment horizontal="center"/>
      <protection hidden="1"/>
    </xf>
    <xf numFmtId="4" fontId="7" fillId="0" borderId="0" xfId="2" applyNumberFormat="1" applyFont="1" applyFill="1" applyBorder="1" applyProtection="1">
      <protection hidden="1"/>
    </xf>
    <xf numFmtId="0" fontId="2" fillId="0" borderId="0" xfId="4"/>
    <xf numFmtId="4" fontId="8" fillId="3" borderId="1" xfId="3" applyNumberFormat="1" applyFill="1" applyBorder="1" applyAlignment="1" applyProtection="1">
      <alignment horizontal="center"/>
      <protection hidden="1"/>
    </xf>
    <xf numFmtId="4" fontId="8" fillId="0" borderId="0" xfId="3" applyNumberFormat="1" applyFill="1" applyBorder="1" applyAlignment="1" applyProtection="1">
      <alignment horizontal="centerContinuous"/>
      <protection hidden="1"/>
    </xf>
    <xf numFmtId="4" fontId="8" fillId="0" borderId="0" xfId="3" applyNumberFormat="1" applyFill="1" applyBorder="1" applyAlignment="1" applyProtection="1">
      <alignment horizontal="center"/>
      <protection hidden="1"/>
    </xf>
    <xf numFmtId="4" fontId="9" fillId="0" borderId="0" xfId="2" applyNumberFormat="1" applyFont="1" applyFill="1" applyBorder="1" applyProtection="1">
      <protection hidden="1"/>
    </xf>
    <xf numFmtId="0" fontId="2" fillId="0" borderId="0" xfId="1"/>
    <xf numFmtId="4" fontId="2" fillId="0" borderId="0" xfId="1" applyNumberFormat="1" applyAlignment="1">
      <alignment horizontal="center"/>
    </xf>
    <xf numFmtId="0" fontId="10" fillId="6" borderId="5" xfId="0" applyFont="1" applyFill="1" applyBorder="1" applyAlignment="1">
      <alignment horizontal="center" vertical="center" wrapText="1"/>
    </xf>
    <xf numFmtId="0" fontId="11" fillId="7" borderId="5" xfId="0" applyFont="1" applyFill="1" applyBorder="1" applyAlignment="1">
      <alignment horizontal="center" vertical="center" wrapText="1"/>
    </xf>
    <xf numFmtId="9" fontId="0" fillId="0" borderId="0" xfId="0" applyNumberFormat="1">
      <alignment vertical="center"/>
    </xf>
    <xf numFmtId="9" fontId="11" fillId="7" borderId="5" xfId="0" applyNumberFormat="1" applyFont="1" applyFill="1" applyBorder="1" applyAlignment="1">
      <alignment horizontal="center" vertical="center" wrapText="1"/>
    </xf>
    <xf numFmtId="10" fontId="11" fillId="7" borderId="5" xfId="0" applyNumberFormat="1" applyFont="1" applyFill="1" applyBorder="1" applyAlignment="1">
      <alignment horizontal="center" vertical="center" wrapText="1"/>
    </xf>
    <xf numFmtId="2" fontId="11" fillId="7" borderId="5" xfId="0" applyNumberFormat="1" applyFont="1" applyFill="1" applyBorder="1" applyAlignment="1">
      <alignment vertical="center" wrapText="1"/>
    </xf>
    <xf numFmtId="2" fontId="0" fillId="0" borderId="0" xfId="0" applyNumberFormat="1" applyAlignment="1"/>
    <xf numFmtId="2" fontId="5" fillId="0" borderId="0" xfId="2" applyNumberFormat="1" applyFont="1" applyFill="1" applyBorder="1" applyProtection="1">
      <protection hidden="1"/>
    </xf>
    <xf numFmtId="2" fontId="7" fillId="0" borderId="0" xfId="2" applyNumberFormat="1" applyFont="1" applyFill="1" applyBorder="1" applyProtection="1">
      <protection hidden="1"/>
    </xf>
    <xf numFmtId="2" fontId="8" fillId="0" borderId="0" xfId="3" applyNumberFormat="1" applyFill="1" applyBorder="1" applyAlignment="1" applyProtection="1">
      <alignment horizontal="center"/>
      <protection hidden="1"/>
    </xf>
    <xf numFmtId="2" fontId="2" fillId="0" borderId="0" xfId="1" applyNumberFormat="1" applyFill="1" applyBorder="1"/>
    <xf numFmtId="10" fontId="0" fillId="0" borderId="0" xfId="0" applyNumberFormat="1">
      <alignment vertical="center"/>
    </xf>
    <xf numFmtId="4" fontId="0" fillId="0" borderId="0" xfId="0" applyNumberFormat="1">
      <alignment vertical="center"/>
    </xf>
    <xf numFmtId="0" fontId="0" fillId="0" borderId="0" xfId="0" applyBorder="1" applyAlignment="1">
      <alignment horizontal="center"/>
    </xf>
    <xf numFmtId="0" fontId="0" fillId="0" borderId="1" xfId="0" applyBorder="1">
      <alignment vertical="center"/>
    </xf>
    <xf numFmtId="4" fontId="0" fillId="0" borderId="1" xfId="0" applyNumberFormat="1" applyBorder="1">
      <alignment vertical="center"/>
    </xf>
    <xf numFmtId="0" fontId="13"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4" fontId="0" fillId="5" borderId="0" xfId="0" applyNumberFormat="1" applyFill="1">
      <alignment vertical="center"/>
    </xf>
    <xf numFmtId="0" fontId="14" fillId="0" borderId="0" xfId="0" applyFont="1" applyFill="1" applyBorder="1" applyAlignment="1">
      <alignment horizontal="center" vertical="center" wrapText="1"/>
    </xf>
    <xf numFmtId="0" fontId="0" fillId="0" borderId="1" xfId="0" applyNumberFormat="1" applyFill="1" applyBorder="1">
      <alignment vertical="center"/>
    </xf>
    <xf numFmtId="2" fontId="0" fillId="0" borderId="0" xfId="0" applyNumberFormat="1">
      <alignment vertical="center"/>
    </xf>
    <xf numFmtId="0" fontId="0" fillId="0" borderId="0" xfId="0" applyBorder="1">
      <alignment vertical="center"/>
    </xf>
    <xf numFmtId="1" fontId="0" fillId="0" borderId="0" xfId="0" applyNumberFormat="1" applyBorder="1">
      <alignment vertical="center"/>
    </xf>
    <xf numFmtId="4" fontId="0" fillId="0" borderId="0" xfId="0" applyNumberFormat="1" applyBorder="1">
      <alignment vertical="center"/>
    </xf>
    <xf numFmtId="0" fontId="13" fillId="0" borderId="0"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2" fillId="0" borderId="0" xfId="1" applyBorder="1" applyAlignment="1">
      <alignment horizontal="center"/>
    </xf>
    <xf numFmtId="4" fontId="2" fillId="0" borderId="0" xfId="1" applyNumberFormat="1" applyBorder="1" applyAlignment="1">
      <alignment horizontal="center"/>
    </xf>
    <xf numFmtId="0" fontId="2" fillId="0" borderId="0" xfId="1" applyFont="1" applyBorder="1" applyAlignment="1">
      <alignment horizontal="center" wrapText="1"/>
    </xf>
    <xf numFmtId="0" fontId="2" fillId="0" borderId="0" xfId="1" applyBorder="1" applyAlignment="1">
      <alignment horizontal="center" wrapText="1"/>
    </xf>
    <xf numFmtId="4" fontId="2" fillId="0" borderId="0" xfId="1" applyNumberFormat="1" applyFont="1" applyBorder="1" applyAlignment="1">
      <alignment horizontal="center" wrapText="1"/>
    </xf>
    <xf numFmtId="0" fontId="2" fillId="0" borderId="0" xfId="1" applyFill="1" applyBorder="1" applyAlignment="1">
      <alignment horizontal="center"/>
    </xf>
    <xf numFmtId="0" fontId="2" fillId="0" borderId="0" xfId="1" applyFont="1" applyFill="1" applyBorder="1" applyAlignment="1">
      <alignment horizontal="center" wrapText="1"/>
    </xf>
    <xf numFmtId="4" fontId="2" fillId="0" borderId="0" xfId="1" applyNumberFormat="1" applyFill="1" applyBorder="1" applyAlignment="1">
      <alignment horizontal="center"/>
    </xf>
    <xf numFmtId="4" fontId="2" fillId="5" borderId="0" xfId="1" applyNumberFormat="1" applyFill="1" applyBorder="1" applyAlignment="1">
      <alignment horizontal="center"/>
    </xf>
    <xf numFmtId="0" fontId="2" fillId="5" borderId="0" xfId="1" applyFill="1" applyBorder="1" applyAlignment="1">
      <alignment horizontal="center"/>
    </xf>
    <xf numFmtId="4" fontId="2" fillId="0" borderId="0" xfId="1" applyNumberFormat="1" applyFill="1" applyAlignment="1">
      <alignment horizontal="center"/>
    </xf>
    <xf numFmtId="0" fontId="4" fillId="0" borderId="0" xfId="2" applyFont="1" applyFill="1" applyBorder="1" applyAlignment="1" applyProtection="1">
      <alignment horizontal="center"/>
      <protection hidden="1"/>
    </xf>
    <xf numFmtId="4" fontId="5" fillId="0" borderId="0" xfId="2" applyNumberFormat="1" applyFont="1" applyFill="1" applyBorder="1" applyAlignment="1" applyProtection="1">
      <alignment horizontal="center"/>
      <protection hidden="1"/>
    </xf>
    <xf numFmtId="4" fontId="7" fillId="0" borderId="0" xfId="2" applyNumberFormat="1" applyFont="1" applyFill="1" applyBorder="1" applyAlignment="1" applyProtection="1">
      <alignment horizontal="center"/>
      <protection hidden="1"/>
    </xf>
    <xf numFmtId="4" fontId="9" fillId="0" borderId="0" xfId="2" applyNumberFormat="1" applyFont="1" applyFill="1" applyBorder="1" applyAlignment="1" applyProtection="1">
      <alignment horizontal="center"/>
      <protection hidden="1"/>
    </xf>
    <xf numFmtId="4" fontId="8" fillId="0" borderId="1" xfId="3" applyNumberFormat="1" applyFill="1" applyBorder="1" applyAlignment="1" applyProtection="1">
      <alignment horizontal="center"/>
      <protection hidden="1"/>
    </xf>
    <xf numFmtId="4" fontId="8" fillId="0" borderId="1" xfId="3" applyNumberFormat="1" applyFill="1" applyBorder="1" applyAlignment="1" applyProtection="1">
      <alignment horizontal="center" vertical="center"/>
      <protection hidden="1"/>
    </xf>
    <xf numFmtId="4" fontId="9" fillId="0" borderId="1" xfId="2" applyNumberFormat="1" applyFont="1" applyFill="1" applyBorder="1" applyAlignment="1" applyProtection="1">
      <alignment horizontal="center"/>
      <protection hidden="1"/>
    </xf>
    <xf numFmtId="4" fontId="2" fillId="0" borderId="1" xfId="1" applyNumberFormat="1" applyFill="1" applyBorder="1" applyAlignment="1">
      <alignment horizontal="center"/>
    </xf>
    <xf numFmtId="0" fontId="6" fillId="2" borderId="3" xfId="2" applyFont="1" applyFill="1" applyBorder="1" applyAlignment="1" applyProtection="1">
      <alignment horizontal="center"/>
      <protection locked="0"/>
    </xf>
    <xf numFmtId="0" fontId="6" fillId="2" borderId="4" xfId="2" applyFont="1" applyFill="1" applyBorder="1" applyAlignment="1" applyProtection="1">
      <alignment horizontal="center"/>
      <protection locked="0"/>
    </xf>
    <xf numFmtId="4" fontId="8" fillId="3" borderId="1" xfId="3" applyNumberFormat="1" applyFill="1" applyBorder="1" applyAlignment="1" applyProtection="1">
      <alignment horizontal="left" vertical="center"/>
      <protection hidden="1"/>
    </xf>
    <xf numFmtId="0" fontId="2" fillId="0" borderId="0" xfId="1" applyFill="1" applyAlignment="1">
      <alignment horizontal="center"/>
    </xf>
    <xf numFmtId="4" fontId="2" fillId="0" borderId="1" xfId="1" applyNumberFormat="1" applyFont="1" applyBorder="1" applyAlignment="1">
      <alignment horizontal="center" wrapText="1"/>
    </xf>
    <xf numFmtId="4" fontId="2" fillId="0" borderId="1" xfId="1" applyNumberFormat="1" applyBorder="1" applyAlignment="1">
      <alignment horizontal="center"/>
    </xf>
    <xf numFmtId="0" fontId="14" fillId="0" borderId="0" xfId="0" applyFont="1" applyBorder="1" applyAlignment="1">
      <alignment horizontal="center" vertical="center" wrapText="1"/>
    </xf>
    <xf numFmtId="0" fontId="0" fillId="0" borderId="0" xfId="0" applyFill="1" applyBorder="1">
      <alignment vertical="center"/>
    </xf>
    <xf numFmtId="0" fontId="12" fillId="0" borderId="0" xfId="0" applyFont="1" applyFill="1" applyBorder="1" applyAlignment="1">
      <alignment wrapText="1"/>
    </xf>
    <xf numFmtId="4" fontId="12" fillId="0" borderId="0" xfId="0" applyNumberFormat="1" applyFont="1" applyFill="1" applyBorder="1">
      <alignment vertical="center"/>
    </xf>
    <xf numFmtId="0" fontId="14" fillId="0" borderId="0" xfId="0" applyFont="1" applyFill="1" applyBorder="1" applyAlignment="1">
      <alignment horizontal="center" vertical="center" wrapText="1"/>
    </xf>
    <xf numFmtId="4" fontId="0" fillId="0" borderId="0" xfId="0" applyNumberFormat="1" applyFill="1" applyBorder="1">
      <alignment vertical="center"/>
    </xf>
    <xf numFmtId="49" fontId="0" fillId="0" borderId="0" xfId="0" applyNumberFormat="1" applyAlignment="1"/>
    <xf numFmtId="49" fontId="0" fillId="0" borderId="0" xfId="0" applyNumberFormat="1" applyFill="1" applyBorder="1" applyAlignment="1">
      <alignment horizontal="right"/>
    </xf>
    <xf numFmtId="49" fontId="0" fillId="0" borderId="0" xfId="0" applyNumberFormat="1" applyAlignment="1">
      <alignment horizontal="right"/>
    </xf>
    <xf numFmtId="49" fontId="0" fillId="0" borderId="0" xfId="0" applyNumberFormat="1">
      <alignment vertical="center"/>
    </xf>
    <xf numFmtId="49" fontId="0" fillId="0" borderId="0" xfId="0" applyNumberFormat="1" applyAlignment="1">
      <alignment horizontal="right" vertical="center"/>
    </xf>
    <xf numFmtId="0" fontId="0" fillId="0" borderId="0" xfId="0" applyAlignment="1">
      <alignment horizontal="center" vertical="center"/>
    </xf>
    <xf numFmtId="0" fontId="16" fillId="0" borderId="0" xfId="22" applyFill="1" applyBorder="1">
      <alignment horizontal="right" vertical="center" wrapText="1"/>
    </xf>
    <xf numFmtId="0" fontId="0" fillId="14" borderId="1" xfId="0" applyFill="1" applyBorder="1">
      <alignment vertical="center"/>
    </xf>
    <xf numFmtId="165" fontId="24" fillId="0" borderId="0" xfId="0" applyNumberFormat="1" applyFont="1" applyFill="1" applyBorder="1" applyAlignment="1">
      <alignment horizontal="right" wrapText="1" indent="1"/>
    </xf>
    <xf numFmtId="0" fontId="0" fillId="0" borderId="0" xfId="0" applyAlignment="1">
      <alignment vertical="center" wrapText="1"/>
    </xf>
    <xf numFmtId="0" fontId="16" fillId="0" borderId="0" xfId="22" applyFill="1" applyBorder="1" applyAlignment="1">
      <alignment horizontal="right" vertical="center" wrapText="1"/>
    </xf>
    <xf numFmtId="0" fontId="0" fillId="0" borderId="0" xfId="0" applyFill="1" applyBorder="1" applyAlignment="1">
      <alignment vertical="center" wrapText="1"/>
    </xf>
    <xf numFmtId="0" fontId="12" fillId="0" borderId="0" xfId="0" applyFont="1" applyFill="1" applyBorder="1" applyAlignment="1">
      <alignment vertical="center" wrapText="1"/>
    </xf>
    <xf numFmtId="4" fontId="15" fillId="0" borderId="1" xfId="0" applyNumberFormat="1" applyFont="1" applyFill="1" applyBorder="1" applyAlignment="1">
      <alignment horizontal="center" vertical="center"/>
    </xf>
    <xf numFmtId="0" fontId="1" fillId="0" borderId="0" xfId="14" applyFill="1" applyBorder="1" applyAlignment="1">
      <alignment horizontal="right" wrapText="1"/>
    </xf>
    <xf numFmtId="4" fontId="1" fillId="0" borderId="0" xfId="14" applyNumberFormat="1" applyFill="1" applyBorder="1" applyAlignment="1">
      <alignment horizontal="center"/>
    </xf>
    <xf numFmtId="1" fontId="27" fillId="20" borderId="1" xfId="0" applyNumberFormat="1" applyFont="1" applyFill="1" applyBorder="1">
      <alignment vertical="center"/>
    </xf>
    <xf numFmtId="0" fontId="16" fillId="0" borderId="0" xfId="0" applyFont="1" applyAlignment="1">
      <alignment horizontal="center" vertical="center"/>
    </xf>
    <xf numFmtId="0" fontId="16" fillId="0" borderId="0" xfId="0" applyFont="1" applyFill="1" applyBorder="1" applyAlignment="1">
      <alignment horizontal="center" vertical="center"/>
    </xf>
    <xf numFmtId="4" fontId="16" fillId="0" borderId="0" xfId="0" applyNumberFormat="1" applyFont="1" applyBorder="1" applyAlignment="1">
      <alignment horizontal="center" vertical="center"/>
    </xf>
    <xf numFmtId="38" fontId="31" fillId="0" borderId="13" xfId="0" applyNumberFormat="1" applyFont="1" applyBorder="1" applyAlignment="1">
      <alignment horizontal="right" vertical="center" wrapText="1"/>
    </xf>
    <xf numFmtId="4" fontId="31" fillId="0" borderId="13" xfId="0" applyNumberFormat="1" applyFont="1" applyBorder="1" applyAlignment="1">
      <alignment horizontal="right" vertical="center"/>
    </xf>
    <xf numFmtId="4" fontId="32" fillId="15" borderId="20" xfId="20" applyNumberFormat="1" applyFont="1">
      <alignment vertical="center"/>
    </xf>
    <xf numFmtId="38" fontId="33" fillId="0" borderId="24" xfId="11" applyNumberFormat="1" applyFont="1" applyFill="1" applyAlignment="1">
      <alignment horizontal="right" vertical="center" wrapText="1"/>
    </xf>
    <xf numFmtId="4" fontId="33" fillId="0" borderId="24" xfId="11" applyNumberFormat="1" applyFont="1" applyFill="1" applyAlignment="1">
      <alignment horizontal="right" vertical="center"/>
    </xf>
    <xf numFmtId="3" fontId="32" fillId="0" borderId="21" xfId="0" applyNumberFormat="1" applyFont="1" applyFill="1" applyBorder="1" applyAlignment="1">
      <alignment horizontal="center" wrapText="1"/>
    </xf>
    <xf numFmtId="0" fontId="34" fillId="0" borderId="21" xfId="0" applyNumberFormat="1" applyFont="1" applyFill="1" applyBorder="1" applyAlignment="1">
      <alignment horizontal="right" wrapText="1" indent="1"/>
    </xf>
    <xf numFmtId="4" fontId="0" fillId="14" borderId="1" xfId="0" applyNumberFormat="1" applyFill="1" applyBorder="1">
      <alignment vertical="center"/>
    </xf>
    <xf numFmtId="0" fontId="27" fillId="19" borderId="23" xfId="17" applyFont="1" applyFill="1" applyBorder="1" applyAlignment="1">
      <alignment horizontal="center" wrapText="1"/>
    </xf>
    <xf numFmtId="10" fontId="15" fillId="12" borderId="23" xfId="18" applyNumberFormat="1" applyFont="1" applyAlignment="1">
      <alignment horizontal="center" vertical="center" wrapText="1"/>
    </xf>
    <xf numFmtId="10" fontId="15" fillId="12" borderId="23" xfId="18" applyNumberFormat="1" applyFont="1" applyAlignment="1">
      <alignment horizontal="center" vertical="center"/>
    </xf>
    <xf numFmtId="4" fontId="33" fillId="15" borderId="25" xfId="20" applyNumberFormat="1" applyFont="1" applyBorder="1" applyAlignment="1">
      <alignment horizontal="center"/>
    </xf>
    <xf numFmtId="0" fontId="27" fillId="19" borderId="23" xfId="17" applyFont="1" applyFill="1" applyBorder="1" applyAlignment="1">
      <alignment horizontal="center" vertical="center" wrapText="1"/>
    </xf>
    <xf numFmtId="4" fontId="33" fillId="15" borderId="25" xfId="20" applyNumberFormat="1" applyFont="1" applyBorder="1" applyAlignment="1">
      <alignment horizontal="center" vertical="center" wrapText="1"/>
    </xf>
    <xf numFmtId="166" fontId="27" fillId="18" borderId="20" xfId="16" applyNumberFormat="1" applyFont="1" applyBorder="1" applyAlignment="1">
      <alignment horizontal="center" vertical="center" wrapText="1"/>
    </xf>
    <xf numFmtId="166" fontId="33" fillId="15" borderId="20" xfId="20" applyFont="1" applyAlignment="1">
      <alignment horizontal="right" vertical="center" wrapText="1"/>
    </xf>
    <xf numFmtId="1" fontId="11" fillId="7" borderId="1" xfId="0" applyNumberFormat="1" applyFont="1" applyFill="1" applyBorder="1" applyAlignment="1">
      <alignment horizontal="center" wrapText="1"/>
    </xf>
    <xf numFmtId="0" fontId="0" fillId="0" borderId="1" xfId="0" applyBorder="1" applyAlignment="1">
      <alignment horizontal="center"/>
    </xf>
    <xf numFmtId="0" fontId="11" fillId="7" borderId="1" xfId="0" applyFont="1" applyFill="1" applyBorder="1" applyAlignment="1">
      <alignment horizontal="center" wrapText="1"/>
    </xf>
    <xf numFmtId="0" fontId="2" fillId="0" borderId="1" xfId="1" applyBorder="1"/>
    <xf numFmtId="0" fontId="2" fillId="0" borderId="1" xfId="1" applyFill="1" applyBorder="1"/>
    <xf numFmtId="2" fontId="2" fillId="0" borderId="1" xfId="1" applyNumberFormat="1" applyFill="1" applyBorder="1"/>
    <xf numFmtId="0" fontId="2" fillId="0" borderId="1" xfId="1" applyFill="1" applyBorder="1" applyAlignment="1">
      <alignment horizontal="center"/>
    </xf>
    <xf numFmtId="4" fontId="8" fillId="0" borderId="1" xfId="3" applyNumberFormat="1" applyFill="1" applyBorder="1" applyAlignment="1" applyProtection="1">
      <alignment horizontal="left" vertical="center"/>
      <protection hidden="1"/>
    </xf>
    <xf numFmtId="2" fontId="8" fillId="0" borderId="1" xfId="3" applyNumberFormat="1" applyFill="1" applyBorder="1" applyAlignment="1" applyProtection="1">
      <alignment horizontal="centerContinuous"/>
      <protection hidden="1"/>
    </xf>
    <xf numFmtId="49" fontId="16" fillId="0" borderId="0" xfId="0" applyNumberFormat="1" applyFont="1" applyBorder="1" applyAlignment="1">
      <alignment horizontal="center" vertical="center"/>
    </xf>
    <xf numFmtId="0" fontId="40" fillId="23" borderId="27" xfId="23" applyFont="1" applyBorder="1" applyAlignment="1">
      <alignment horizontal="center" vertical="center" wrapText="1"/>
    </xf>
    <xf numFmtId="4" fontId="40" fillId="23" borderId="27" xfId="23" applyNumberFormat="1" applyFont="1" applyBorder="1" applyAlignment="1">
      <alignment horizontal="center" vertical="center"/>
    </xf>
    <xf numFmtId="0" fontId="40" fillId="23" borderId="26" xfId="23" applyFont="1" applyBorder="1" applyAlignment="1">
      <alignment horizontal="center" vertical="center" wrapText="1"/>
    </xf>
    <xf numFmtId="4" fontId="40" fillId="23" borderId="26" xfId="23" applyNumberFormat="1" applyFont="1" applyBorder="1" applyAlignment="1">
      <alignment horizontal="center" vertical="center"/>
    </xf>
    <xf numFmtId="0" fontId="40" fillId="23" borderId="28" xfId="23" applyFont="1" applyBorder="1" applyAlignment="1">
      <alignment horizontal="center" vertical="center" wrapText="1"/>
    </xf>
    <xf numFmtId="4" fontId="40" fillId="23" borderId="28" xfId="23" applyNumberFormat="1" applyFont="1" applyBorder="1" applyAlignment="1">
      <alignment horizontal="center" vertical="center"/>
    </xf>
    <xf numFmtId="0" fontId="0" fillId="0" borderId="1" xfId="0" applyNumberFormat="1" applyFill="1" applyBorder="1" applyAlignment="1">
      <alignment vertical="center"/>
    </xf>
    <xf numFmtId="3" fontId="11" fillId="7" borderId="1" xfId="0" applyNumberFormat="1" applyFont="1" applyFill="1" applyBorder="1" applyAlignment="1">
      <alignment horizontal="center" vertical="center" wrapText="1"/>
    </xf>
    <xf numFmtId="38" fontId="42" fillId="0" borderId="24" xfId="11" applyNumberFormat="1" applyFont="1" applyFill="1" applyAlignment="1">
      <alignment horizontal="right" vertical="center" wrapText="1"/>
    </xf>
    <xf numFmtId="4" fontId="42" fillId="0" borderId="24" xfId="11" applyNumberFormat="1" applyFont="1" applyFill="1" applyAlignment="1">
      <alignment horizontal="right" vertical="center"/>
    </xf>
    <xf numFmtId="0" fontId="14" fillId="0" borderId="1" xfId="0" applyFont="1" applyBorder="1" applyAlignment="1">
      <alignment horizontal="center" vertical="center" wrapText="1"/>
    </xf>
    <xf numFmtId="0" fontId="14" fillId="0" borderId="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3" fillId="4" borderId="1" xfId="2" applyFont="1" applyFill="1" applyBorder="1" applyAlignment="1" applyProtection="1">
      <alignment horizontal="center"/>
      <protection locked="0"/>
    </xf>
    <xf numFmtId="0" fontId="28" fillId="9" borderId="18" xfId="12" applyFont="1" applyBorder="1" applyAlignment="1">
      <alignment horizontal="right" vertical="center" wrapText="1"/>
    </xf>
    <xf numFmtId="10" fontId="29" fillId="8" borderId="15" xfId="9" applyNumberFormat="1" applyFont="1" applyBorder="1" applyAlignment="1" applyProtection="1">
      <alignment horizontal="center" vertical="center" wrapText="1"/>
      <protection locked="0"/>
    </xf>
    <xf numFmtId="10" fontId="29" fillId="8" borderId="14" xfId="9" applyNumberFormat="1" applyFont="1" applyBorder="1" applyAlignment="1" applyProtection="1">
      <alignment horizontal="center" vertical="center" wrapText="1"/>
      <protection locked="0"/>
    </xf>
    <xf numFmtId="10" fontId="30" fillId="8" borderId="15" xfId="9" applyNumberFormat="1" applyFont="1" applyBorder="1" applyAlignment="1" applyProtection="1">
      <alignment horizontal="center" vertical="center"/>
      <protection locked="0"/>
    </xf>
    <xf numFmtId="10" fontId="30" fillId="8" borderId="14" xfId="9" applyNumberFormat="1" applyFont="1" applyBorder="1" applyAlignment="1" applyProtection="1">
      <alignment horizontal="center" vertical="center"/>
      <protection locked="0"/>
    </xf>
    <xf numFmtId="4" fontId="30" fillId="8" borderId="15" xfId="9" applyNumberFormat="1" applyFont="1" applyBorder="1" applyAlignment="1" applyProtection="1">
      <alignment horizontal="center" vertical="center" wrapText="1"/>
      <protection locked="0"/>
    </xf>
    <xf numFmtId="4" fontId="30" fillId="8" borderId="14" xfId="9" applyNumberFormat="1" applyFont="1" applyBorder="1" applyAlignment="1" applyProtection="1">
      <alignment horizontal="center" vertical="center" wrapText="1"/>
      <protection locked="0"/>
    </xf>
    <xf numFmtId="4" fontId="30" fillId="21" borderId="15" xfId="9" applyNumberFormat="1" applyFont="1" applyFill="1" applyBorder="1" applyAlignment="1" applyProtection="1">
      <alignment horizontal="center" vertical="center" wrapText="1"/>
      <protection locked="0"/>
    </xf>
    <xf numFmtId="4" fontId="30" fillId="21" borderId="14" xfId="9" applyNumberFormat="1" applyFont="1" applyFill="1" applyBorder="1" applyAlignment="1" applyProtection="1">
      <alignment horizontal="center" vertical="center" wrapText="1"/>
      <protection locked="0"/>
    </xf>
    <xf numFmtId="4" fontId="37" fillId="22" borderId="16" xfId="10" applyNumberFormat="1" applyFont="1" applyFill="1" applyBorder="1" applyAlignment="1" applyProtection="1">
      <alignment horizontal="center" vertical="center"/>
      <protection locked="0"/>
    </xf>
    <xf numFmtId="4" fontId="37" fillId="22" borderId="17" xfId="10" applyNumberFormat="1" applyFont="1" applyFill="1" applyBorder="1" applyAlignment="1" applyProtection="1">
      <alignment horizontal="center" vertical="center"/>
      <protection locked="0"/>
    </xf>
    <xf numFmtId="0" fontId="28" fillId="9" borderId="19" xfId="12" applyFont="1" applyBorder="1" applyAlignment="1">
      <alignment horizontal="right" vertical="center" wrapText="1"/>
    </xf>
  </cellXfs>
  <cellStyles count="24">
    <cellStyle name="20% - Έμφαση1" xfId="13" builtinId="30" customBuiltin="1"/>
    <cellStyle name="20% - Έμφαση4" xfId="18" builtinId="42" customBuiltin="1"/>
    <cellStyle name="40% - Έμφαση1" xfId="14" builtinId="31" customBuiltin="1"/>
    <cellStyle name="60% - Έμφαση2" xfId="16" builtinId="36" customBuiltin="1"/>
    <cellStyle name="Month" xfId="19"/>
    <cellStyle name="Normal 4" xfId="1"/>
    <cellStyle name="Normal_Aποζημίωση Απόλυσης 2" xfId="2"/>
    <cellStyle name="Normal_ypolfmy" xfId="3"/>
    <cellStyle name="Style 1" xfId="21"/>
    <cellStyle name="Style 2" xfId="22"/>
    <cellStyle name="Totals" xfId="20"/>
    <cellStyle name="Έμφαση1" xfId="12" builtinId="29"/>
    <cellStyle name="Έμφαση2" xfId="15" builtinId="33" customBuiltin="1"/>
    <cellStyle name="Έμφαση4" xfId="17" builtinId="41"/>
    <cellStyle name="Επεξηγηματικό κείμενο" xfId="10" builtinId="53"/>
    <cellStyle name="Επικεφαλίδα 1" xfId="6" builtinId="16" customBuiltin="1"/>
    <cellStyle name="Επικεφαλίδα 2" xfId="7" builtinId="17" customBuiltin="1"/>
    <cellStyle name="Επικεφαλίδα 3" xfId="8" builtinId="18" customBuiltin="1"/>
    <cellStyle name="Κανονικό" xfId="0" builtinId="0" customBuiltin="1"/>
    <cellStyle name="Κανονικό 2" xfId="4"/>
    <cellStyle name="Ουδέτερο" xfId="23" builtinId="28"/>
    <cellStyle name="Σημείωση" xfId="9" builtinId="10"/>
    <cellStyle name="Σύνολο" xfId="11" builtinId="25" customBuiltin="1"/>
    <cellStyle name="Τίτλος" xfId="5" builtinId="15" customBuiltin="1"/>
  </cellStyles>
  <dxfs count="16">
    <dxf>
      <font>
        <color theme="0"/>
      </font>
      <fill>
        <patternFill>
          <bgColor rgb="FFFF0000"/>
        </patternFill>
      </fill>
    </dxf>
    <dxf>
      <fill>
        <patternFill>
          <bgColor rgb="FF92D050"/>
        </patternFill>
      </fill>
    </dxf>
    <dxf>
      <fill>
        <patternFill patternType="none">
          <bgColor auto="1"/>
        </patternFill>
      </fill>
      <border>
        <vertical/>
        <horizontal/>
      </border>
    </dxf>
    <dxf>
      <font>
        <color theme="1" tint="0.14996795556505021"/>
      </font>
    </dxf>
    <dxf>
      <border diagonalUp="0" diagonalDown="0">
        <left style="dotted">
          <color theme="0" tint="-0.34998626667073579"/>
        </left>
        <right style="dotted">
          <color theme="0" tint="-0.34998626667073579"/>
        </right>
        <top style="thin">
          <color theme="0" tint="-0.34998626667073579"/>
        </top>
        <bottom style="dotted">
          <color theme="0"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39994506668294322"/>
        </bottom>
      </border>
    </dxf>
    <dxf>
      <font>
        <b val="0"/>
        <i val="0"/>
        <color theme="1" tint="0.14996795556505021"/>
      </font>
    </dxf>
    <dxf>
      <font>
        <color theme="1" tint="0.499984740745262"/>
      </font>
      <border>
        <left/>
        <right style="thin">
          <color theme="0" tint="-0.34998626667073579"/>
        </right>
        <top style="thin">
          <color theme="0" tint="-0.34998626667073579"/>
        </top>
        <bottom style="thin">
          <color theme="0" tint="-0.34998626667073579"/>
        </bottom>
        <vertical style="dotted">
          <color theme="0" tint="-0.34998626667073579"/>
        </vertical>
        <horizontal style="thin">
          <color theme="0" tint="-0.34998626667073579"/>
        </horizontal>
      </border>
    </dxf>
    <dxf>
      <fill>
        <patternFill patternType="none">
          <bgColor auto="1"/>
        </patternFill>
      </fill>
      <border>
        <vertical/>
        <horizontal/>
      </border>
    </dxf>
    <dxf>
      <font>
        <color theme="1" tint="0.14996795556505021"/>
      </font>
    </dxf>
    <dxf>
      <border diagonalUp="0" diagonalDown="0">
        <left style="dotted">
          <color theme="0" tint="-0.34998626667073579"/>
        </left>
        <right style="dotted">
          <color theme="0" tint="-0.34998626667073579"/>
        </right>
        <top style="thin">
          <color theme="0" tint="-0.34998626667073579"/>
        </top>
        <bottom style="dotted">
          <color theme="0"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39994506668294322"/>
        </bottom>
      </border>
    </dxf>
    <dxf>
      <font>
        <b val="0"/>
        <i val="0"/>
        <color theme="1" tint="0.14996795556505021"/>
      </font>
    </dxf>
    <dxf>
      <font>
        <color theme="1" tint="0.499984740745262"/>
      </font>
      <border>
        <left/>
        <right style="thin">
          <color theme="0" tint="-0.34998626667073579"/>
        </right>
        <top style="thin">
          <color theme="0" tint="-0.34998626667073579"/>
        </top>
        <bottom style="thin">
          <color theme="0" tint="-0.34998626667073579"/>
        </bottom>
        <vertical style="dotted">
          <color theme="0" tint="-0.34998626667073579"/>
        </vertical>
        <horizontal style="thin">
          <color theme="0" tint="-0.34998626667073579"/>
        </horizontal>
      </border>
    </dxf>
  </dxfs>
  <tableStyles count="2" defaultTableStyle="TableStyleMedium2" defaultPivotStyle="PivotStyleLight16">
    <tableStyle name="Cash Receipts" pivot="0" count="7">
      <tableStyleElement type="wholeTable" dxfId="15"/>
      <tableStyleElement type="headerRow" dxfId="14"/>
      <tableStyleElement type="totalRow" dxfId="13"/>
      <tableStyleElement type="firstColumn" dxfId="12"/>
      <tableStyleElement type="lastColumn" dxfId="11"/>
      <tableStyleElement type="firstTotalCell" dxfId="10"/>
      <tableStyleElement type="lastTotalCell" dxfId="9"/>
    </tableStyle>
    <tableStyle name="Cash Receipts 2" pivot="0" count="7">
      <tableStyleElement type="wholeTable" dxfId="8"/>
      <tableStyleElement type="headerRow" dxfId="7"/>
      <tableStyleElement type="totalRow" dxfId="6"/>
      <tableStyleElement type="firstColumn" dxfId="5"/>
      <tableStyleElement type="lastColumn" dxfId="4"/>
      <tableStyleElement type="firstTotalCell" dxfId="3"/>
      <tableStyleElement type="lastTotalCell" dxfId="2"/>
    </tableStyle>
  </tableStyles>
  <colors>
    <mruColors>
      <color rgb="FFDDDDDD"/>
      <color rgb="FFFFFFCC"/>
      <color rgb="FF1B9BB5"/>
      <color rgb="FFA47D00"/>
      <color rgb="FFAD4B0F"/>
      <color rgb="FFF8F8F8"/>
      <color rgb="FFBCE5F2"/>
      <color rgb="FFF6BC94"/>
      <color rgb="FFA2D8E3"/>
      <color rgb="FF65D2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lang val="el-GR"/>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l-GR"/>
              <a:t>Εισόδημα προ εισφορών </a:t>
            </a:r>
            <a:endParaRPr lang="en-US"/>
          </a:p>
        </c:rich>
      </c:tx>
      <c:layout/>
      <c:spPr>
        <a:noFill/>
        <a:ln>
          <a:noFill/>
        </a:ln>
        <a:effectLst/>
      </c:spPr>
    </c:title>
    <c:plotArea>
      <c:layout/>
      <c:barChart>
        <c:barDir val="col"/>
        <c:grouping val="clustered"/>
        <c:ser>
          <c:idx val="0"/>
          <c:order val="0"/>
          <c:tx>
            <c:strRef>
              <c:f>Υπολογισμοί!$F$17</c:f>
              <c:strCache>
                <c:ptCount val="1"/>
                <c:pt idx="0">
                  <c:v>15.234,00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l-GR"/>
              </a:p>
            </c:txPr>
            <c:dLblPos val="outEnd"/>
            <c:showVal val="1"/>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Υπολογισμοί!$P$20:$V$20</c:f>
              <c:numCache>
                <c:formatCode>General</c:formatCode>
                <c:ptCount val="7"/>
                <c:pt idx="0">
                  <c:v>2016</c:v>
                </c:pt>
                <c:pt idx="1">
                  <c:v>2017</c:v>
                </c:pt>
                <c:pt idx="2">
                  <c:v>2018</c:v>
                </c:pt>
                <c:pt idx="3">
                  <c:v>2019</c:v>
                </c:pt>
                <c:pt idx="4">
                  <c:v>2020</c:v>
                </c:pt>
                <c:pt idx="5">
                  <c:v>2021</c:v>
                </c:pt>
                <c:pt idx="6">
                  <c:v>2022</c:v>
                </c:pt>
              </c:numCache>
            </c:numRef>
          </c:cat>
          <c:val>
            <c:numRef>
              <c:f>Υπολογισμοί!$P$21:$V$21</c:f>
              <c:numCache>
                <c:formatCode>#,##0.00</c:formatCode>
                <c:ptCount val="7"/>
                <c:pt idx="0">
                  <c:v>448.38559999999961</c:v>
                </c:pt>
                <c:pt idx="1">
                  <c:v>1226.3891799999992</c:v>
                </c:pt>
                <c:pt idx="2">
                  <c:v>1020.1457451899996</c:v>
                </c:pt>
                <c:pt idx="3">
                  <c:v>1076.6575558712948</c:v>
                </c:pt>
                <c:pt idx="4">
                  <c:v>1061.6759078926852</c:v>
                </c:pt>
                <c:pt idx="5">
                  <c:v>1065.7793320229221</c:v>
                </c:pt>
                <c:pt idx="6">
                  <c:v>1064.6927542198218</c:v>
                </c:pt>
              </c:numCache>
            </c:numRef>
          </c:val>
          <c:extLst xmlns:c16r2="http://schemas.microsoft.com/office/drawing/2015/06/chart">
            <c:ext xmlns:c16="http://schemas.microsoft.com/office/drawing/2014/chart" uri="{C3380CC4-5D6E-409C-BE32-E72D297353CC}">
              <c16:uniqueId val="{00000001-F457-4894-A381-A73024951779}"/>
            </c:ext>
          </c:extLst>
        </c:ser>
        <c:dLbls>
          <c:showVal val="1"/>
        </c:dLbls>
        <c:gapWidth val="100"/>
        <c:overlap val="-24"/>
        <c:axId val="73976064"/>
        <c:axId val="72617984"/>
      </c:barChart>
      <c:catAx>
        <c:axId val="73976064"/>
        <c:scaling>
          <c:orientation val="minMax"/>
        </c:scaling>
        <c:axPos val="b"/>
        <c:numFmt formatCode="General" sourceLinked="1"/>
        <c:minorTickMark val="cross"/>
        <c:tickLblPos val="low"/>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72617984"/>
        <c:crosses val="autoZero"/>
        <c:auto val="1"/>
        <c:lblAlgn val="ctr"/>
        <c:lblOffset val="100"/>
        <c:tickLblSkip val="1"/>
      </c:catAx>
      <c:valAx>
        <c:axId val="72617984"/>
        <c:scaling>
          <c:orientation val="minMax"/>
        </c:scaling>
        <c:axPos val="l"/>
        <c:majorGridlines>
          <c:spPr>
            <a:ln w="9525" cap="flat" cmpd="sng" algn="ctr">
              <a:solidFill>
                <a:schemeClr val="lt1">
                  <a:lumMod val="95000"/>
                  <a:alpha val="10000"/>
                </a:schemeClr>
              </a:solidFill>
              <a:round/>
            </a:ln>
            <a:effectLst/>
          </c:spPr>
        </c:majorGridlines>
        <c:numFmt formatCode="#,##0.00" sourceLinked="1"/>
        <c:maj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l-GR"/>
          </a:p>
        </c:txPr>
        <c:crossAx val="73976064"/>
        <c:crosses val="autoZero"/>
        <c:crossBetween val="between"/>
      </c:valAx>
      <c:spPr>
        <a:noFill/>
        <a:ln>
          <a:noFill/>
        </a:ln>
        <a:effectLst/>
      </c:spPr>
    </c:plotArea>
    <c:legend>
      <c:legendPos val="b"/>
      <c:layout>
        <c:manualLayout>
          <c:xMode val="edge"/>
          <c:yMode val="edge"/>
          <c:x val="0.77189765226308638"/>
          <c:y val="3.6578400672888853E-2"/>
          <c:w val="0.20496460307782566"/>
          <c:h val="0.12445768603248919"/>
        </c:manualLayout>
      </c:layout>
      <c:spPr>
        <a:noFill/>
        <a:ln>
          <a:noFill/>
        </a:ln>
        <a:effectLst/>
      </c:spPr>
      <c:txPr>
        <a:bodyPr rot="0" spcFirstLastPara="1" vertOverflow="ellipsis" vert="horz" wrap="square" anchor="ctr" anchorCtr="1"/>
        <a:lstStyle/>
        <a:p>
          <a:pPr>
            <a:defRPr sz="1400" b="0" i="0" u="none" strike="noStrike" kern="1200" baseline="0">
              <a:solidFill>
                <a:schemeClr val="lt1">
                  <a:lumMod val="85000"/>
                </a:schemeClr>
              </a:solidFill>
              <a:latin typeface="+mn-lt"/>
              <a:ea typeface="+mn-ea"/>
              <a:cs typeface="+mn-cs"/>
            </a:defRPr>
          </a:pPr>
          <a:endParaRPr lang="el-GR"/>
        </a:p>
      </c:txPr>
    </c:legend>
    <c:plotVisOnly val="1"/>
    <c:dispBlanksAs val="gap"/>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l-GR"/>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4762</xdr:colOff>
      <xdr:row>1</xdr:row>
      <xdr:rowOff>142875</xdr:rowOff>
    </xdr:from>
    <xdr:to>
      <xdr:col>22</xdr:col>
      <xdr:colOff>66675</xdr:colOff>
      <xdr:row>18</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173115</xdr:colOff>
      <xdr:row>21</xdr:row>
      <xdr:rowOff>131260</xdr:rowOff>
    </xdr:from>
    <xdr:ext cx="5559279" cy="2298321"/>
    <xdr:sp macro="" textlink="">
      <xdr:nvSpPr>
        <xdr:cNvPr id="3" name="Rectangle 2"/>
        <xdr:cNvSpPr/>
      </xdr:nvSpPr>
      <xdr:spPr>
        <a:xfrm>
          <a:off x="8231265" y="4207960"/>
          <a:ext cx="5559279" cy="2298321"/>
        </a:xfrm>
        <a:prstGeom prst="rect">
          <a:avLst/>
        </a:prstGeom>
        <a:noFill/>
        <a:effectLst>
          <a:outerShdw blurRad="50800" dist="38100" dir="13500000" algn="br" rotWithShape="0">
            <a:schemeClr val="accent1">
              <a:lumMod val="75000"/>
              <a:alpha val="40000"/>
            </a:schemeClr>
          </a:outerShdw>
        </a:effectLst>
      </xdr:spPr>
      <xdr:txBody>
        <a:bodyPr wrap="none" lIns="91440" tIns="45720" rIns="91440" bIns="45720">
          <a:spAutoFit/>
        </a:bodyPr>
        <a:lstStyle/>
        <a:p>
          <a:pPr algn="ctr"/>
          <a:r>
            <a:rPr lang="el-GR" sz="5400" b="0" cap="none" spc="0" baseline="0">
              <a:ln w="0"/>
              <a:solidFill>
                <a:schemeClr val="accent1"/>
              </a:solidFill>
              <a:effectLst>
                <a:outerShdw blurRad="38100" dist="25400" dir="5400000" algn="ctr" rotWithShape="0">
                  <a:srgbClr val="6E747A">
                    <a:alpha val="43000"/>
                  </a:srgbClr>
                </a:outerShdw>
              </a:effectLst>
              <a:latin typeface="Space Age" panose="02000500020000020004" pitchFamily="2" charset="0"/>
            </a:rPr>
            <a:t>Λογιστικό Γραφείο</a:t>
          </a:r>
        </a:p>
        <a:p>
          <a:pPr algn="ctr"/>
          <a:r>
            <a:rPr lang="el-GR" sz="5400" b="0" cap="none" spc="0" baseline="0">
              <a:ln w="0"/>
              <a:solidFill>
                <a:schemeClr val="accent1"/>
              </a:solidFill>
              <a:effectLst>
                <a:outerShdw blurRad="38100" dist="25400" dir="5400000" algn="ctr" rotWithShape="0">
                  <a:srgbClr val="6E747A">
                    <a:alpha val="43000"/>
                  </a:srgbClr>
                </a:outerShdw>
              </a:effectLst>
              <a:latin typeface="Space Age" panose="02000500020000020004" pitchFamily="2" charset="0"/>
            </a:rPr>
            <a:t>Στάθης Τριβυζάς</a:t>
          </a:r>
          <a:endParaRPr lang="en-US" sz="5400" b="0" cap="none" spc="0" baseline="0">
            <a:ln w="0"/>
            <a:solidFill>
              <a:schemeClr val="accent1"/>
            </a:solidFill>
            <a:effectLst>
              <a:outerShdw blurRad="38100" dist="25400" dir="5400000" algn="ctr" rotWithShape="0">
                <a:srgbClr val="6E747A">
                  <a:alpha val="43000"/>
                </a:srgbClr>
              </a:outerShdw>
            </a:effectLst>
            <a:latin typeface="Space Age" panose="02000500020000020004" pitchFamily="2"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C5:H42"/>
  <sheetViews>
    <sheetView tabSelected="1" workbookViewId="0">
      <selection activeCell="D55" sqref="D55"/>
    </sheetView>
  </sheetViews>
  <sheetFormatPr defaultRowHeight="12.75"/>
  <cols>
    <col min="4" max="4" width="38.42578125" customWidth="1"/>
  </cols>
  <sheetData>
    <row r="5" spans="3:6">
      <c r="C5" s="33" t="s">
        <v>20</v>
      </c>
      <c r="D5" s="34" t="s">
        <v>21</v>
      </c>
    </row>
    <row r="6" spans="3:6">
      <c r="C6" s="34">
        <v>1</v>
      </c>
      <c r="D6" s="33" t="s">
        <v>22</v>
      </c>
      <c r="E6" s="42">
        <v>210.71</v>
      </c>
      <c r="F6" s="42">
        <f t="shared" ref="F6:F19" si="0">E6*12</f>
        <v>2528.52</v>
      </c>
    </row>
    <row r="7" spans="3:6">
      <c r="C7" s="34">
        <v>2</v>
      </c>
      <c r="D7" s="33" t="s">
        <v>23</v>
      </c>
      <c r="E7" s="42">
        <v>257.33999999999997</v>
      </c>
      <c r="F7" s="42">
        <f t="shared" si="0"/>
        <v>3088.08</v>
      </c>
    </row>
    <row r="8" spans="3:6">
      <c r="C8" s="34">
        <v>3</v>
      </c>
      <c r="D8" s="33" t="s">
        <v>24</v>
      </c>
      <c r="E8" s="42">
        <v>307.19</v>
      </c>
      <c r="F8" s="42">
        <f t="shared" si="0"/>
        <v>3686.2799999999997</v>
      </c>
    </row>
    <row r="9" spans="3:6">
      <c r="C9" s="34">
        <v>4</v>
      </c>
      <c r="D9" s="33" t="s">
        <v>25</v>
      </c>
      <c r="E9" s="42">
        <v>335.37</v>
      </c>
      <c r="F9" s="42">
        <f t="shared" si="0"/>
        <v>4024.44</v>
      </c>
    </row>
    <row r="10" spans="3:6">
      <c r="C10" s="34">
        <v>5</v>
      </c>
      <c r="D10" s="33" t="s">
        <v>26</v>
      </c>
      <c r="E10" s="42">
        <v>386.84</v>
      </c>
      <c r="F10" s="42">
        <f t="shared" si="0"/>
        <v>4642.08</v>
      </c>
    </row>
    <row r="11" spans="3:6">
      <c r="C11" s="34">
        <v>6</v>
      </c>
      <c r="D11" s="33" t="s">
        <v>27</v>
      </c>
      <c r="E11" s="42">
        <v>436.3</v>
      </c>
      <c r="F11" s="42">
        <f t="shared" si="0"/>
        <v>5235.6000000000004</v>
      </c>
    </row>
    <row r="12" spans="3:6">
      <c r="C12" s="34">
        <v>7</v>
      </c>
      <c r="D12" s="33" t="s">
        <v>28</v>
      </c>
      <c r="E12" s="42">
        <v>466.54</v>
      </c>
      <c r="F12" s="42">
        <f t="shared" si="0"/>
        <v>5598.4800000000005</v>
      </c>
    </row>
    <row r="13" spans="3:6">
      <c r="C13" s="34">
        <v>8</v>
      </c>
      <c r="D13" s="33" t="s">
        <v>29</v>
      </c>
      <c r="E13" s="42">
        <v>504.47</v>
      </c>
      <c r="F13" s="42">
        <f t="shared" si="0"/>
        <v>6053.64</v>
      </c>
    </row>
    <row r="14" spans="3:6">
      <c r="C14" s="34">
        <v>9</v>
      </c>
      <c r="D14" s="33" t="s">
        <v>30</v>
      </c>
      <c r="E14" s="42">
        <v>538.54999999999995</v>
      </c>
      <c r="F14" s="42">
        <f t="shared" si="0"/>
        <v>6462.5999999999995</v>
      </c>
    </row>
    <row r="15" spans="3:6">
      <c r="C15" s="34">
        <v>10</v>
      </c>
      <c r="D15" s="33" t="s">
        <v>31</v>
      </c>
      <c r="E15" s="42">
        <v>572.66</v>
      </c>
      <c r="F15" s="42">
        <f t="shared" si="0"/>
        <v>6871.92</v>
      </c>
    </row>
    <row r="16" spans="3:6">
      <c r="C16" s="34">
        <v>11</v>
      </c>
      <c r="D16" s="33" t="s">
        <v>32</v>
      </c>
      <c r="E16" s="42">
        <v>606.74</v>
      </c>
      <c r="F16" s="42">
        <f t="shared" si="0"/>
        <v>7280.88</v>
      </c>
    </row>
    <row r="17" spans="3:8">
      <c r="C17" s="34">
        <v>12</v>
      </c>
      <c r="D17" s="33" t="s">
        <v>33</v>
      </c>
      <c r="E17" s="42">
        <v>640.82000000000005</v>
      </c>
      <c r="F17" s="42">
        <f t="shared" si="0"/>
        <v>7689.84</v>
      </c>
    </row>
    <row r="18" spans="3:8">
      <c r="C18" s="34">
        <v>13</v>
      </c>
      <c r="D18" s="33" t="s">
        <v>34</v>
      </c>
      <c r="E18" s="42">
        <v>674.92</v>
      </c>
      <c r="F18" s="42">
        <f t="shared" si="0"/>
        <v>8099.0399999999991</v>
      </c>
    </row>
    <row r="19" spans="3:8">
      <c r="C19" s="34">
        <v>14</v>
      </c>
      <c r="D19" s="33" t="s">
        <v>35</v>
      </c>
      <c r="E19" s="42">
        <v>709.01</v>
      </c>
      <c r="F19" s="42">
        <f t="shared" si="0"/>
        <v>8508.119999999999</v>
      </c>
    </row>
    <row r="24" spans="3:8">
      <c r="C24" s="135" t="s">
        <v>36</v>
      </c>
      <c r="D24" s="135"/>
      <c r="E24" s="135"/>
      <c r="F24" s="135"/>
    </row>
    <row r="25" spans="3:8">
      <c r="C25" s="135" t="s">
        <v>37</v>
      </c>
      <c r="D25" s="135"/>
      <c r="E25" s="135"/>
      <c r="F25" s="135"/>
    </row>
    <row r="26" spans="3:8">
      <c r="C26" s="35" t="s">
        <v>38</v>
      </c>
      <c r="D26" s="36" t="s">
        <v>39</v>
      </c>
      <c r="E26" s="36" t="s">
        <v>40</v>
      </c>
      <c r="F26" s="35">
        <v>245.2</v>
      </c>
      <c r="G26" s="29">
        <f t="shared" ref="G26:G32" si="1">F26*12</f>
        <v>2942.3999999999996</v>
      </c>
      <c r="H26">
        <f>G26+180</f>
        <v>3122.3999999999996</v>
      </c>
    </row>
    <row r="27" spans="3:8">
      <c r="C27" s="35" t="s">
        <v>41</v>
      </c>
      <c r="D27" s="36" t="s">
        <v>42</v>
      </c>
      <c r="E27" s="36" t="s">
        <v>40</v>
      </c>
      <c r="F27" s="35">
        <v>278.93</v>
      </c>
      <c r="G27" s="29">
        <f t="shared" si="1"/>
        <v>3347.16</v>
      </c>
    </row>
    <row r="28" spans="3:8">
      <c r="C28" s="35" t="s">
        <v>43</v>
      </c>
      <c r="D28" s="36" t="s">
        <v>44</v>
      </c>
      <c r="E28" s="36" t="s">
        <v>40</v>
      </c>
      <c r="F28" s="35">
        <v>314.99</v>
      </c>
      <c r="G28" s="29">
        <f t="shared" si="1"/>
        <v>3779.88</v>
      </c>
    </row>
    <row r="29" spans="3:8">
      <c r="C29" s="37" t="s">
        <v>45</v>
      </c>
      <c r="D29" s="38" t="s">
        <v>46</v>
      </c>
      <c r="E29" s="38" t="s">
        <v>40</v>
      </c>
      <c r="F29" s="37">
        <v>335.37</v>
      </c>
      <c r="G29" s="39">
        <f t="shared" si="1"/>
        <v>4024.44</v>
      </c>
    </row>
    <row r="30" spans="3:8">
      <c r="C30" s="35" t="s">
        <v>47</v>
      </c>
      <c r="D30" s="36" t="s">
        <v>48</v>
      </c>
      <c r="E30" s="36" t="s">
        <v>40</v>
      </c>
      <c r="F30" s="35">
        <v>372.6</v>
      </c>
      <c r="G30" s="29">
        <f t="shared" si="1"/>
        <v>4471.2000000000007</v>
      </c>
    </row>
    <row r="31" spans="3:8">
      <c r="C31" s="35" t="s">
        <v>49</v>
      </c>
      <c r="D31" s="36" t="s">
        <v>50</v>
      </c>
      <c r="E31" s="36" t="s">
        <v>40</v>
      </c>
      <c r="F31" s="35">
        <v>408.38</v>
      </c>
      <c r="G31" s="29">
        <f t="shared" si="1"/>
        <v>4900.5599999999995</v>
      </c>
    </row>
    <row r="32" spans="3:8">
      <c r="C32" s="35" t="s">
        <v>51</v>
      </c>
      <c r="D32" s="36" t="s">
        <v>52</v>
      </c>
      <c r="E32" s="36" t="s">
        <v>40</v>
      </c>
      <c r="F32" s="35">
        <v>430.25</v>
      </c>
      <c r="G32" s="29">
        <f t="shared" si="1"/>
        <v>5163</v>
      </c>
    </row>
    <row r="33" spans="3:7">
      <c r="C33" s="35" t="s">
        <v>53</v>
      </c>
      <c r="D33" s="36" t="s">
        <v>54</v>
      </c>
      <c r="E33" s="36" t="s">
        <v>40</v>
      </c>
      <c r="F33" s="35">
        <v>457.69</v>
      </c>
      <c r="G33" s="29">
        <f>F33*12</f>
        <v>5492.28</v>
      </c>
    </row>
    <row r="34" spans="3:7">
      <c r="C34" s="35" t="s">
        <v>55</v>
      </c>
      <c r="D34" s="36" t="s">
        <v>56</v>
      </c>
      <c r="E34" s="36" t="s">
        <v>40</v>
      </c>
      <c r="F34" s="35">
        <v>482.34</v>
      </c>
      <c r="G34" s="29">
        <f t="shared" ref="G34:G37" si="2">F34*12</f>
        <v>5788.08</v>
      </c>
    </row>
    <row r="35" spans="3:7">
      <c r="C35" s="35" t="s">
        <v>57</v>
      </c>
      <c r="D35" s="36" t="s">
        <v>58</v>
      </c>
      <c r="E35" s="36" t="s">
        <v>40</v>
      </c>
      <c r="F35" s="35">
        <v>507.01</v>
      </c>
      <c r="G35" s="29">
        <f t="shared" si="2"/>
        <v>6084.12</v>
      </c>
    </row>
    <row r="36" spans="3:7">
      <c r="C36" s="35" t="s">
        <v>59</v>
      </c>
      <c r="D36" s="36" t="s">
        <v>60</v>
      </c>
      <c r="E36" s="36" t="s">
        <v>40</v>
      </c>
      <c r="F36" s="35">
        <v>531.66</v>
      </c>
      <c r="G36" s="29">
        <f t="shared" si="2"/>
        <v>6379.92</v>
      </c>
    </row>
    <row r="37" spans="3:7">
      <c r="C37" s="35" t="s">
        <v>61</v>
      </c>
      <c r="D37" s="36" t="s">
        <v>62</v>
      </c>
      <c r="E37" s="36" t="s">
        <v>40</v>
      </c>
      <c r="F37" s="35">
        <v>556.30999999999995</v>
      </c>
      <c r="G37" s="29">
        <f t="shared" si="2"/>
        <v>6675.7199999999993</v>
      </c>
    </row>
    <row r="38" spans="3:7">
      <c r="C38" s="35" t="s">
        <v>63</v>
      </c>
      <c r="D38" s="36" t="s">
        <v>64</v>
      </c>
      <c r="E38" s="36" t="s">
        <v>40</v>
      </c>
      <c r="F38" s="35">
        <v>580.98</v>
      </c>
      <c r="G38" s="29">
        <f>F38*12</f>
        <v>6971.76</v>
      </c>
    </row>
    <row r="39" spans="3:7">
      <c r="C39" s="35" t="s">
        <v>65</v>
      </c>
      <c r="D39" s="36" t="s">
        <v>66</v>
      </c>
      <c r="E39" s="36" t="s">
        <v>40</v>
      </c>
      <c r="F39" s="35">
        <v>605.64</v>
      </c>
      <c r="G39" s="29">
        <f>F39*12</f>
        <v>7267.68</v>
      </c>
    </row>
    <row r="41" spans="3:7">
      <c r="C41" s="136" t="s">
        <v>67</v>
      </c>
      <c r="D41" s="136"/>
      <c r="E41" s="136"/>
      <c r="F41" s="136"/>
    </row>
    <row r="42" spans="3:7">
      <c r="D42" s="46" t="s">
        <v>69</v>
      </c>
    </row>
  </sheetData>
  <mergeCells count="3">
    <mergeCell ref="C24:F24"/>
    <mergeCell ref="C25:F25"/>
    <mergeCell ref="C41:F4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2"/>
  <dimension ref="C3:T44"/>
  <sheetViews>
    <sheetView topLeftCell="A4" workbookViewId="0">
      <selection activeCell="M19" sqref="M19"/>
    </sheetView>
  </sheetViews>
  <sheetFormatPr defaultRowHeight="12.75"/>
  <cols>
    <col min="3" max="3" width="12.42578125" customWidth="1"/>
    <col min="4" max="5" width="10.7109375" customWidth="1"/>
    <col min="9" max="9" width="18.28515625" customWidth="1"/>
    <col min="10" max="10" width="13.7109375" customWidth="1"/>
    <col min="11" max="11" width="12.42578125" customWidth="1"/>
    <col min="13" max="13" width="9.140625" customWidth="1"/>
  </cols>
  <sheetData>
    <row r="3" spans="3:20" ht="13.5" thickBot="1"/>
    <row r="4" spans="3:20" ht="15.75" thickBot="1">
      <c r="C4" s="137" t="s">
        <v>7</v>
      </c>
      <c r="D4" s="137" t="s">
        <v>8</v>
      </c>
      <c r="E4" s="137" t="s">
        <v>9</v>
      </c>
      <c r="F4" s="140" t="s">
        <v>10</v>
      </c>
      <c r="G4" s="141"/>
      <c r="I4" s="142" t="s">
        <v>1</v>
      </c>
      <c r="J4" s="142"/>
      <c r="K4" s="142"/>
    </row>
    <row r="5" spans="3:20" ht="30.75" thickBot="1">
      <c r="C5" s="138"/>
      <c r="D5" s="138"/>
      <c r="E5" s="138"/>
      <c r="F5" s="17" t="s">
        <v>11</v>
      </c>
      <c r="G5" s="17" t="s">
        <v>12</v>
      </c>
      <c r="I5" s="6" t="s">
        <v>2</v>
      </c>
      <c r="J5" s="6" t="s">
        <v>3</v>
      </c>
      <c r="K5" s="7"/>
    </row>
    <row r="6" spans="3:20" ht="15.75" thickBot="1">
      <c r="C6" s="139"/>
      <c r="D6" s="139"/>
      <c r="E6" s="139"/>
      <c r="F6" s="17" t="s">
        <v>13</v>
      </c>
      <c r="G6" s="17" t="s">
        <v>13</v>
      </c>
      <c r="I6">
        <v>0</v>
      </c>
      <c r="J6">
        <v>22</v>
      </c>
      <c r="K6">
        <v>0</v>
      </c>
    </row>
    <row r="7" spans="3:20" ht="15.75" thickBot="1">
      <c r="C7" s="18">
        <v>25000</v>
      </c>
      <c r="D7" s="20">
        <v>0.22</v>
      </c>
      <c r="E7" s="18">
        <v>5500</v>
      </c>
      <c r="F7" s="18">
        <v>25000</v>
      </c>
      <c r="G7" s="18">
        <v>5500</v>
      </c>
      <c r="I7" s="10">
        <v>25000</v>
      </c>
      <c r="J7" s="10">
        <v>32</v>
      </c>
      <c r="K7" s="10">
        <v>5500</v>
      </c>
      <c r="T7" s="42"/>
    </row>
    <row r="8" spans="3:20" ht="15.75" thickBot="1">
      <c r="C8" s="18">
        <v>17000</v>
      </c>
      <c r="D8" s="20">
        <v>0.32</v>
      </c>
      <c r="E8" s="18">
        <v>5440</v>
      </c>
      <c r="F8" s="18">
        <v>42000</v>
      </c>
      <c r="G8" s="18">
        <v>10940</v>
      </c>
      <c r="I8">
        <v>42000</v>
      </c>
      <c r="J8">
        <v>42</v>
      </c>
      <c r="K8">
        <v>10940</v>
      </c>
    </row>
    <row r="9" spans="3:20" ht="15.75" thickBot="1">
      <c r="C9" s="18" t="s">
        <v>14</v>
      </c>
      <c r="D9" s="20">
        <v>0.42</v>
      </c>
      <c r="E9" s="18"/>
      <c r="F9" s="18"/>
      <c r="G9" s="18"/>
    </row>
    <row r="13" spans="3:20" ht="13.5" thickBot="1"/>
    <row r="14" spans="3:20" ht="15.75" thickBot="1">
      <c r="C14" s="137" t="s">
        <v>7</v>
      </c>
      <c r="D14" s="137" t="s">
        <v>8</v>
      </c>
      <c r="E14" s="137" t="s">
        <v>9</v>
      </c>
      <c r="F14" s="140" t="s">
        <v>10</v>
      </c>
      <c r="G14" s="141"/>
    </row>
    <row r="15" spans="3:20" ht="30.75" thickBot="1">
      <c r="C15" s="138"/>
      <c r="D15" s="138"/>
      <c r="E15" s="138"/>
      <c r="F15" s="17" t="s">
        <v>11</v>
      </c>
      <c r="G15" s="17" t="s">
        <v>12</v>
      </c>
    </row>
    <row r="16" spans="3:20" ht="15.75" thickBot="1">
      <c r="C16" s="139"/>
      <c r="D16" s="139"/>
      <c r="E16" s="139"/>
      <c r="F16" s="17" t="s">
        <v>13</v>
      </c>
      <c r="G16" s="17" t="s">
        <v>13</v>
      </c>
    </row>
    <row r="17" spans="3:11" ht="15.75" thickBot="1">
      <c r="C17" s="18">
        <v>20000</v>
      </c>
      <c r="D17" s="20">
        <v>0.22</v>
      </c>
      <c r="E17" s="18">
        <f>D17*C17</f>
        <v>4400</v>
      </c>
      <c r="F17" s="18">
        <v>20000</v>
      </c>
      <c r="G17" s="18">
        <f>E17</f>
        <v>4400</v>
      </c>
      <c r="I17">
        <v>0</v>
      </c>
      <c r="J17" s="20">
        <v>0.22</v>
      </c>
      <c r="K17">
        <v>0</v>
      </c>
    </row>
    <row r="18" spans="3:11" ht="15.75" thickBot="1">
      <c r="C18" s="18">
        <v>10000</v>
      </c>
      <c r="D18" s="20">
        <v>0.28999999999999998</v>
      </c>
      <c r="E18" s="18">
        <f>D18*C18</f>
        <v>2900</v>
      </c>
      <c r="F18" s="18">
        <f>C18+C17</f>
        <v>30000</v>
      </c>
      <c r="G18" s="18">
        <f>E18+G17</f>
        <v>7300</v>
      </c>
      <c r="I18" s="18">
        <v>20000</v>
      </c>
      <c r="J18" s="20">
        <v>0.28999999999999998</v>
      </c>
      <c r="K18">
        <v>4400</v>
      </c>
    </row>
    <row r="19" spans="3:11" ht="15.75" thickBot="1">
      <c r="C19" s="18">
        <v>10000</v>
      </c>
      <c r="D19" s="20">
        <v>0.37</v>
      </c>
      <c r="E19" s="18">
        <f>D19*C19</f>
        <v>3700</v>
      </c>
      <c r="F19" s="18">
        <f>C19+C18+C17</f>
        <v>40000</v>
      </c>
      <c r="G19" s="18">
        <f>G18+E19</f>
        <v>11000</v>
      </c>
      <c r="I19" s="18">
        <v>30000</v>
      </c>
      <c r="J19" s="20">
        <v>0.37</v>
      </c>
      <c r="K19">
        <v>7300</v>
      </c>
    </row>
    <row r="20" spans="3:11" ht="15.75" thickBot="1">
      <c r="C20" s="18" t="s">
        <v>14</v>
      </c>
      <c r="D20" s="20">
        <v>0.45</v>
      </c>
      <c r="E20" s="18"/>
      <c r="F20" s="18"/>
      <c r="G20" s="18"/>
      <c r="I20" s="18">
        <v>40000</v>
      </c>
      <c r="J20" s="20">
        <v>0.45</v>
      </c>
      <c r="K20">
        <v>11000</v>
      </c>
    </row>
    <row r="25" spans="3:11" ht="13.5" thickBot="1"/>
    <row r="26" spans="3:11" ht="15.75" thickBot="1">
      <c r="C26" s="137" t="s">
        <v>7</v>
      </c>
      <c r="D26" s="137" t="s">
        <v>8</v>
      </c>
      <c r="E26" s="137" t="s">
        <v>9</v>
      </c>
      <c r="F26" s="140" t="s">
        <v>10</v>
      </c>
      <c r="G26" s="141"/>
    </row>
    <row r="27" spans="3:11" ht="30.75" thickBot="1">
      <c r="C27" s="138"/>
      <c r="D27" s="138"/>
      <c r="E27" s="138"/>
      <c r="F27" s="17" t="s">
        <v>11</v>
      </c>
      <c r="G27" s="17" t="s">
        <v>12</v>
      </c>
    </row>
    <row r="28" spans="3:11" ht="15.75" thickBot="1">
      <c r="C28" s="139"/>
      <c r="D28" s="139"/>
      <c r="E28" s="139"/>
      <c r="F28" s="17" t="s">
        <v>13</v>
      </c>
      <c r="G28" s="17" t="s">
        <v>13</v>
      </c>
    </row>
    <row r="29" spans="3:11" ht="15.75" thickBot="1">
      <c r="C29" s="18">
        <v>12000</v>
      </c>
      <c r="D29" s="21">
        <v>0</v>
      </c>
      <c r="E29" s="18">
        <f t="shared" ref="E29:E34" si="0">D29*C29</f>
        <v>0</v>
      </c>
      <c r="F29" s="18">
        <f>C29</f>
        <v>12000</v>
      </c>
      <c r="G29" s="18">
        <f>E29</f>
        <v>0</v>
      </c>
      <c r="I29">
        <v>0</v>
      </c>
      <c r="J29" s="22">
        <v>0</v>
      </c>
      <c r="K29">
        <v>0</v>
      </c>
    </row>
    <row r="30" spans="3:11" ht="15.75" thickBot="1">
      <c r="C30" s="18">
        <v>8000</v>
      </c>
      <c r="D30" s="21">
        <v>2.1999999999999999E-2</v>
      </c>
      <c r="E30" s="18">
        <f t="shared" si="0"/>
        <v>176</v>
      </c>
      <c r="F30" s="18">
        <f>C30+F29</f>
        <v>20000</v>
      </c>
      <c r="G30" s="18">
        <f>E30+G29</f>
        <v>176</v>
      </c>
      <c r="I30" s="1">
        <v>12000</v>
      </c>
      <c r="J30" s="22">
        <v>2.2000000000000002</v>
      </c>
      <c r="K30">
        <v>0</v>
      </c>
    </row>
    <row r="31" spans="3:11" ht="15.75" thickBot="1">
      <c r="C31" s="18">
        <v>10000</v>
      </c>
      <c r="D31" s="21">
        <v>0.05</v>
      </c>
      <c r="E31" s="18">
        <f t="shared" si="0"/>
        <v>500</v>
      </c>
      <c r="F31" s="18">
        <f>C31+F30</f>
        <v>30000</v>
      </c>
      <c r="G31" s="18">
        <f>E31+G30</f>
        <v>676</v>
      </c>
      <c r="I31" s="18">
        <v>20000</v>
      </c>
      <c r="J31" s="22">
        <v>5</v>
      </c>
      <c r="K31">
        <v>176</v>
      </c>
    </row>
    <row r="32" spans="3:11" ht="15.75" thickBot="1">
      <c r="C32" s="18">
        <v>10000</v>
      </c>
      <c r="D32" s="21">
        <v>6.5000000000000002E-2</v>
      </c>
      <c r="E32" s="18">
        <f t="shared" si="0"/>
        <v>650</v>
      </c>
      <c r="F32" s="18">
        <f>C32+F31</f>
        <v>40000</v>
      </c>
      <c r="G32" s="18">
        <f>E32+G31</f>
        <v>1326</v>
      </c>
      <c r="I32" s="18">
        <v>30000</v>
      </c>
      <c r="J32" s="22">
        <v>6.5</v>
      </c>
      <c r="K32">
        <v>676</v>
      </c>
    </row>
    <row r="33" spans="3:11" ht="15.75" thickBot="1">
      <c r="C33" s="18">
        <v>25000</v>
      </c>
      <c r="D33" s="21">
        <v>7.4999999999999997E-2</v>
      </c>
      <c r="E33" s="18">
        <f t="shared" si="0"/>
        <v>1875</v>
      </c>
      <c r="F33" s="18">
        <f>C33+F32</f>
        <v>65000</v>
      </c>
      <c r="G33" s="18">
        <f>E33+G32</f>
        <v>3201</v>
      </c>
      <c r="I33" s="18">
        <v>40000</v>
      </c>
      <c r="J33" s="23">
        <v>7.5</v>
      </c>
      <c r="K33">
        <v>1326</v>
      </c>
    </row>
    <row r="34" spans="3:11" ht="15.75" thickBot="1">
      <c r="C34" s="18">
        <v>155000</v>
      </c>
      <c r="D34" s="21">
        <v>0.09</v>
      </c>
      <c r="E34" s="18">
        <f t="shared" si="0"/>
        <v>13950</v>
      </c>
      <c r="F34" s="18">
        <f>C34+F33</f>
        <v>220000</v>
      </c>
      <c r="G34" s="18">
        <f>E34+G33</f>
        <v>17151</v>
      </c>
      <c r="I34" s="1">
        <v>65000</v>
      </c>
      <c r="J34" s="23">
        <v>9</v>
      </c>
      <c r="K34">
        <v>3201</v>
      </c>
    </row>
    <row r="35" spans="3:11" ht="15.75" thickBot="1">
      <c r="C35" s="18" t="s">
        <v>15</v>
      </c>
      <c r="D35" s="21">
        <v>0.1</v>
      </c>
      <c r="E35" s="18"/>
      <c r="F35" s="18"/>
      <c r="G35" s="18"/>
      <c r="I35" s="1">
        <v>220000</v>
      </c>
      <c r="J35" s="23">
        <v>10</v>
      </c>
      <c r="K35">
        <v>17151</v>
      </c>
    </row>
    <row r="42" spans="3:11">
      <c r="E42" s="28"/>
    </row>
    <row r="43" spans="3:11">
      <c r="E43" s="19"/>
    </row>
    <row r="44" spans="3:11">
      <c r="E44" s="28"/>
    </row>
  </sheetData>
  <mergeCells count="13">
    <mergeCell ref="I4:K4"/>
    <mergeCell ref="C14:C16"/>
    <mergeCell ref="D14:D16"/>
    <mergeCell ref="E14:E16"/>
    <mergeCell ref="F14:G14"/>
    <mergeCell ref="C26:C28"/>
    <mergeCell ref="D26:D28"/>
    <mergeCell ref="E26:E28"/>
    <mergeCell ref="F26:G26"/>
    <mergeCell ref="C4:C6"/>
    <mergeCell ref="D4:D6"/>
    <mergeCell ref="E4:E6"/>
    <mergeCell ref="F4:G4"/>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5"/>
  <dimension ref="C2:O21"/>
  <sheetViews>
    <sheetView workbookViewId="0">
      <selection activeCell="F33" sqref="F33"/>
    </sheetView>
  </sheetViews>
  <sheetFormatPr defaultColWidth="11" defaultRowHeight="12.75"/>
  <cols>
    <col min="1" max="1" width="2.7109375" style="15" customWidth="1"/>
    <col min="2" max="2" width="2.85546875" style="15" customWidth="1"/>
    <col min="3" max="3" width="11" style="2" customWidth="1"/>
    <col min="4" max="4" width="17.85546875" style="2" customWidth="1"/>
    <col min="5" max="5" width="19.42578125" style="16" customWidth="1"/>
    <col min="6" max="6" width="20.42578125" style="15" customWidth="1"/>
    <col min="7" max="9" width="14.85546875" style="5" customWidth="1"/>
    <col min="10" max="10" width="14.85546875" style="27" customWidth="1"/>
    <col min="11" max="12" width="14.85546875" style="5" customWidth="1"/>
    <col min="13" max="13" width="2.28515625" style="5" customWidth="1"/>
    <col min="14" max="14" width="14.85546875" style="5" customWidth="1"/>
    <col min="15" max="15" width="19.28515625" style="5" customWidth="1"/>
    <col min="16" max="253" width="9.140625" style="15" customWidth="1"/>
    <col min="254" max="254" width="2.7109375" style="15" customWidth="1"/>
    <col min="255" max="255" width="2.85546875" style="15" customWidth="1"/>
    <col min="256" max="16384" width="11" style="15"/>
  </cols>
  <sheetData>
    <row r="2" spans="3:15" s="5" customFormat="1">
      <c r="C2" s="2"/>
      <c r="D2" s="142" t="s">
        <v>1</v>
      </c>
      <c r="E2" s="142"/>
      <c r="F2" s="142"/>
      <c r="G2" s="3"/>
      <c r="H2" s="3"/>
      <c r="I2" s="4"/>
      <c r="J2" s="24"/>
    </row>
    <row r="3" spans="3:15" s="5" customFormat="1">
      <c r="C3" s="2"/>
      <c r="D3" s="67" t="s">
        <v>2</v>
      </c>
      <c r="E3" s="67" t="s">
        <v>3</v>
      </c>
      <c r="F3" s="68"/>
      <c r="G3" s="8"/>
      <c r="H3" s="8"/>
      <c r="I3" s="9"/>
      <c r="J3" s="25"/>
    </row>
    <row r="4" spans="3:15" s="5" customFormat="1" ht="15">
      <c r="C4" s="2"/>
      <c r="D4" s="31">
        <v>0</v>
      </c>
      <c r="E4" s="132">
        <v>0</v>
      </c>
      <c r="F4" s="31">
        <v>0</v>
      </c>
      <c r="G4" s="4"/>
      <c r="H4" s="4"/>
      <c r="I4" s="9"/>
      <c r="J4" s="25"/>
    </row>
    <row r="5" spans="3:15" s="5" customFormat="1" ht="15">
      <c r="C5" s="2"/>
      <c r="D5" s="47">
        <v>12000</v>
      </c>
      <c r="E5" s="132">
        <v>2.2000000000000002</v>
      </c>
      <c r="F5" s="31">
        <v>0</v>
      </c>
      <c r="G5" s="4"/>
      <c r="H5" s="4"/>
      <c r="I5" s="9"/>
      <c r="J5" s="25"/>
    </row>
    <row r="6" spans="3:15" s="5" customFormat="1" ht="15">
      <c r="C6" s="2"/>
      <c r="D6" s="47">
        <v>20000</v>
      </c>
      <c r="E6" s="132">
        <v>5</v>
      </c>
      <c r="F6" s="31">
        <v>176</v>
      </c>
      <c r="G6" s="9"/>
      <c r="H6" s="9"/>
      <c r="I6" s="9"/>
      <c r="J6" s="25"/>
    </row>
    <row r="7" spans="3:15" s="5" customFormat="1" ht="15">
      <c r="C7" s="2"/>
      <c r="D7" s="47">
        <v>30000</v>
      </c>
      <c r="E7" s="132">
        <v>6.5</v>
      </c>
      <c r="F7" s="31">
        <v>676</v>
      </c>
      <c r="G7" s="9"/>
      <c r="H7" s="9"/>
      <c r="I7" s="9"/>
      <c r="J7" s="25"/>
    </row>
    <row r="8" spans="3:15" s="5" customFormat="1" ht="15">
      <c r="C8" s="2"/>
      <c r="D8" s="47">
        <v>40000</v>
      </c>
      <c r="E8" s="132">
        <v>7.5</v>
      </c>
      <c r="F8" s="31">
        <v>1326</v>
      </c>
      <c r="G8" s="9"/>
      <c r="H8" s="9"/>
      <c r="I8" s="9"/>
      <c r="J8" s="25"/>
    </row>
    <row r="9" spans="3:15" s="5" customFormat="1" ht="15">
      <c r="C9" s="2"/>
      <c r="D9" s="47">
        <v>65000</v>
      </c>
      <c r="E9" s="132">
        <v>9</v>
      </c>
      <c r="F9" s="31">
        <v>3201</v>
      </c>
      <c r="G9" s="9"/>
      <c r="H9" s="9"/>
      <c r="I9" s="9"/>
      <c r="J9" s="25"/>
    </row>
    <row r="10" spans="3:15" s="5" customFormat="1" ht="15">
      <c r="C10" s="2"/>
      <c r="D10" s="47">
        <v>220000</v>
      </c>
      <c r="E10" s="132">
        <v>10</v>
      </c>
      <c r="F10" s="31">
        <v>17151</v>
      </c>
      <c r="G10" s="9"/>
      <c r="H10" s="9"/>
      <c r="I10" s="9"/>
      <c r="J10" s="25"/>
    </row>
    <row r="11" spans="3:15" s="5" customFormat="1" ht="15">
      <c r="C11" s="70"/>
      <c r="D11" s="11"/>
      <c r="E11" s="11"/>
      <c r="F11" s="69"/>
      <c r="G11" s="12"/>
      <c r="H11" s="13"/>
      <c r="I11" s="13"/>
      <c r="J11" s="26"/>
      <c r="K11" s="14"/>
      <c r="L11" s="14"/>
    </row>
    <row r="12" spans="3:15" s="5" customFormat="1" ht="15">
      <c r="C12" s="13"/>
      <c r="D12" s="2"/>
      <c r="E12" s="2"/>
      <c r="F12" s="15"/>
      <c r="J12" s="27"/>
    </row>
    <row r="13" spans="3:15" s="5" customFormat="1">
      <c r="C13" s="70"/>
      <c r="D13" s="2"/>
      <c r="E13" s="16"/>
      <c r="F13" s="15"/>
      <c r="J13" s="27"/>
    </row>
    <row r="14" spans="3:15" s="5" customFormat="1">
      <c r="C14" s="50"/>
      <c r="D14" s="51"/>
      <c r="E14" s="71" t="s">
        <v>4</v>
      </c>
      <c r="F14" s="118"/>
      <c r="G14" s="119"/>
      <c r="H14" s="119"/>
      <c r="I14" s="119"/>
      <c r="J14" s="120"/>
      <c r="K14" s="119"/>
      <c r="L14" s="119"/>
      <c r="M14" s="119"/>
      <c r="N14" s="121" t="s">
        <v>5</v>
      </c>
      <c r="O14" s="121" t="s">
        <v>16</v>
      </c>
    </row>
    <row r="15" spans="3:15" s="5" customFormat="1" ht="15">
      <c r="C15" s="48"/>
      <c r="D15" s="48"/>
      <c r="E15" s="72">
        <f>'4172_el'!G12</f>
        <v>11209.56</v>
      </c>
      <c r="F15" s="118"/>
      <c r="G15" s="63">
        <f>E15</f>
        <v>11209.56</v>
      </c>
      <c r="H15" s="63">
        <f>VLOOKUP(G15,$D$4:$F$10,1)</f>
        <v>0</v>
      </c>
      <c r="I15" s="122">
        <f>G15-H15</f>
        <v>11209.56</v>
      </c>
      <c r="J15" s="123">
        <f>VLOOKUP(G15,$D$4:$E$10,2)</f>
        <v>0</v>
      </c>
      <c r="K15" s="63">
        <f>VLOOKUP(G15,$D$4:$F$10,3)</f>
        <v>0</v>
      </c>
      <c r="L15" s="63">
        <f>ROUND((I15*J15/100)+K15,2)</f>
        <v>0</v>
      </c>
      <c r="M15" s="63"/>
      <c r="N15" s="63">
        <f>E15</f>
        <v>11209.56</v>
      </c>
      <c r="O15" s="65">
        <f>IF(ISERROR(L15),0,L15)</f>
        <v>0</v>
      </c>
    </row>
    <row r="16" spans="3:15" s="5" customFormat="1" ht="15">
      <c r="C16" s="48"/>
      <c r="D16" s="48"/>
      <c r="E16" s="72">
        <f>'4172_el'!G13</f>
        <v>12213.023580000001</v>
      </c>
      <c r="F16" s="118"/>
      <c r="G16" s="63">
        <f t="shared" ref="G16:G19" si="0">E16</f>
        <v>12213.023580000001</v>
      </c>
      <c r="H16" s="63">
        <f t="shared" ref="H16:H19" si="1">VLOOKUP(G16,$D$4:$F$10,1)</f>
        <v>12000</v>
      </c>
      <c r="I16" s="122">
        <f t="shared" ref="I16:I19" si="2">G16-H16</f>
        <v>213.02358000000095</v>
      </c>
      <c r="J16" s="123">
        <f t="shared" ref="J16:J19" si="3">VLOOKUP(G16,$D$4:$E$10,2)</f>
        <v>2.2000000000000002</v>
      </c>
      <c r="K16" s="63">
        <f t="shared" ref="K16:K19" si="4">VLOOKUP(G16,$D$4:$F$10,3)</f>
        <v>0</v>
      </c>
      <c r="L16" s="63">
        <f t="shared" ref="L16:L19" si="5">ROUND((I16*J16/100)+K16,2)</f>
        <v>4.6900000000000004</v>
      </c>
      <c r="M16" s="63"/>
      <c r="N16" s="63">
        <f t="shared" ref="N16:N19" si="6">E16</f>
        <v>12213.023580000001</v>
      </c>
      <c r="O16" s="65">
        <f t="shared" ref="O16:O19" si="7">IF(ISERROR(L16),0,L16)</f>
        <v>4.6900000000000004</v>
      </c>
    </row>
    <row r="17" spans="3:15" s="5" customFormat="1" ht="15">
      <c r="C17" s="48"/>
      <c r="D17" s="48"/>
      <c r="E17" s="72">
        <f>'4172_el'!G14</f>
        <v>11942.590145189999</v>
      </c>
      <c r="F17" s="118"/>
      <c r="G17" s="63">
        <f t="shared" si="0"/>
        <v>11942.590145189999</v>
      </c>
      <c r="H17" s="63">
        <f t="shared" si="1"/>
        <v>0</v>
      </c>
      <c r="I17" s="122">
        <f t="shared" si="2"/>
        <v>11942.590145189999</v>
      </c>
      <c r="J17" s="123">
        <f t="shared" si="3"/>
        <v>0</v>
      </c>
      <c r="K17" s="63">
        <f t="shared" si="4"/>
        <v>0</v>
      </c>
      <c r="L17" s="63">
        <f t="shared" si="5"/>
        <v>0</v>
      </c>
      <c r="M17" s="63"/>
      <c r="N17" s="63">
        <f t="shared" si="6"/>
        <v>11942.590145189999</v>
      </c>
      <c r="O17" s="65">
        <f t="shared" si="7"/>
        <v>0</v>
      </c>
    </row>
    <row r="18" spans="3:15" s="5" customFormat="1" ht="15">
      <c r="C18" s="48"/>
      <c r="D18" s="48"/>
      <c r="E18" s="72">
        <f>'4172_el'!G15</f>
        <v>12015.471955871295</v>
      </c>
      <c r="F18" s="118"/>
      <c r="G18" s="63">
        <f t="shared" si="0"/>
        <v>12015.471955871295</v>
      </c>
      <c r="H18" s="63">
        <f t="shared" si="1"/>
        <v>12000</v>
      </c>
      <c r="I18" s="122">
        <f t="shared" si="2"/>
        <v>15.471955871294995</v>
      </c>
      <c r="J18" s="123">
        <f t="shared" si="3"/>
        <v>2.2000000000000002</v>
      </c>
      <c r="K18" s="63">
        <f t="shared" si="4"/>
        <v>0</v>
      </c>
      <c r="L18" s="63">
        <f t="shared" si="5"/>
        <v>0.34</v>
      </c>
      <c r="M18" s="63"/>
      <c r="N18" s="63">
        <f t="shared" si="6"/>
        <v>12015.471955871295</v>
      </c>
      <c r="O18" s="65">
        <f t="shared" si="7"/>
        <v>0.34</v>
      </c>
    </row>
    <row r="19" spans="3:15" s="5" customFormat="1" ht="15">
      <c r="C19" s="48"/>
      <c r="D19" s="48"/>
      <c r="E19" s="72">
        <f>'4172_el'!G16</f>
        <v>11995.830307892686</v>
      </c>
      <c r="F19" s="118"/>
      <c r="G19" s="63">
        <f t="shared" si="0"/>
        <v>11995.830307892686</v>
      </c>
      <c r="H19" s="63">
        <f t="shared" si="1"/>
        <v>0</v>
      </c>
      <c r="I19" s="122">
        <f t="shared" si="2"/>
        <v>11995.830307892686</v>
      </c>
      <c r="J19" s="123">
        <f t="shared" si="3"/>
        <v>0</v>
      </c>
      <c r="K19" s="63">
        <f t="shared" si="4"/>
        <v>0</v>
      </c>
      <c r="L19" s="63">
        <f t="shared" si="5"/>
        <v>0</v>
      </c>
      <c r="M19" s="63"/>
      <c r="N19" s="63">
        <f t="shared" si="6"/>
        <v>11995.830307892686</v>
      </c>
      <c r="O19" s="65">
        <f t="shared" si="7"/>
        <v>0</v>
      </c>
    </row>
    <row r="20" spans="3:15" ht="15">
      <c r="C20" s="48"/>
      <c r="D20" s="48"/>
      <c r="E20" s="72">
        <f>'4172_el'!G17</f>
        <v>12001.123732022921</v>
      </c>
      <c r="F20" s="118"/>
      <c r="G20" s="63">
        <f t="shared" ref="G20:G21" si="8">E20</f>
        <v>12001.123732022921</v>
      </c>
      <c r="H20" s="63">
        <f t="shared" ref="H20:H21" si="9">VLOOKUP(G20,$D$4:$F$10,1)</f>
        <v>12000</v>
      </c>
      <c r="I20" s="122">
        <f t="shared" ref="I20:I21" si="10">G20-H20</f>
        <v>1.1237320229211036</v>
      </c>
      <c r="J20" s="123">
        <f t="shared" ref="J20:J21" si="11">VLOOKUP(G20,$D$4:$E$10,2)</f>
        <v>2.2000000000000002</v>
      </c>
      <c r="K20" s="63">
        <f t="shared" ref="K20:K21" si="12">VLOOKUP(G20,$D$4:$F$10,3)</f>
        <v>0</v>
      </c>
      <c r="L20" s="63">
        <f t="shared" ref="L20:L21" si="13">ROUND((I20*J20/100)+K20,2)</f>
        <v>0.02</v>
      </c>
      <c r="M20" s="63"/>
      <c r="N20" s="63">
        <f t="shared" ref="N20:N21" si="14">E20</f>
        <v>12001.123732022921</v>
      </c>
      <c r="O20" s="65">
        <f t="shared" ref="O20:O21" si="15">IF(ISERROR(L20),0,L20)</f>
        <v>0.02</v>
      </c>
    </row>
    <row r="21" spans="3:15" ht="15">
      <c r="E21" s="72">
        <f>'4172_el'!G18</f>
        <v>11999.697154219823</v>
      </c>
      <c r="F21" s="118"/>
      <c r="G21" s="63">
        <f t="shared" si="8"/>
        <v>11999.697154219823</v>
      </c>
      <c r="H21" s="63">
        <f t="shared" si="9"/>
        <v>0</v>
      </c>
      <c r="I21" s="122">
        <f t="shared" si="10"/>
        <v>11999.697154219823</v>
      </c>
      <c r="J21" s="123">
        <f t="shared" si="11"/>
        <v>0</v>
      </c>
      <c r="K21" s="63">
        <f t="shared" si="12"/>
        <v>0</v>
      </c>
      <c r="L21" s="63">
        <f t="shared" si="13"/>
        <v>0</v>
      </c>
      <c r="M21" s="63"/>
      <c r="N21" s="63">
        <f t="shared" si="14"/>
        <v>11999.697154219823</v>
      </c>
      <c r="O21" s="65">
        <f t="shared" si="15"/>
        <v>0</v>
      </c>
    </row>
  </sheetData>
  <mergeCells count="1">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7"/>
  <dimension ref="C1:S27"/>
  <sheetViews>
    <sheetView workbookViewId="0">
      <selection activeCell="R22" sqref="R22"/>
    </sheetView>
  </sheetViews>
  <sheetFormatPr defaultRowHeight="12.75"/>
  <cols>
    <col min="1" max="1" width="2.7109375" style="15" customWidth="1"/>
    <col min="2" max="2" width="2.85546875" style="15" customWidth="1"/>
    <col min="3" max="3" width="11" style="53" customWidth="1"/>
    <col min="4" max="4" width="17.85546875" style="2" customWidth="1"/>
    <col min="5" max="5" width="19.42578125" style="16" customWidth="1"/>
    <col min="6" max="6" width="20.42578125" style="15" customWidth="1"/>
    <col min="7" max="8" width="14.85546875" style="53" customWidth="1"/>
    <col min="9" max="9" width="12.85546875" style="53" customWidth="1"/>
    <col min="10" max="10" width="14.85546875" style="55" customWidth="1"/>
    <col min="11" max="12" width="14.85546875" style="53" customWidth="1"/>
    <col min="13" max="13" width="1.28515625" style="53" customWidth="1"/>
    <col min="14" max="14" width="1.140625" style="53" customWidth="1"/>
    <col min="15" max="15" width="14" style="53" customWidth="1"/>
    <col min="16" max="16" width="2.140625" style="16" customWidth="1"/>
    <col min="17" max="17" width="16.5703125" style="16" customWidth="1"/>
    <col min="18" max="18" width="14.28515625" style="16" customWidth="1"/>
    <col min="19" max="19" width="10.140625" style="2" customWidth="1"/>
    <col min="20" max="16384" width="9.140625" style="15"/>
  </cols>
  <sheetData>
    <row r="1" spans="3:19">
      <c r="P1" s="58"/>
      <c r="Q1" s="58"/>
    </row>
    <row r="2" spans="3:19" s="5" customFormat="1">
      <c r="C2" s="53"/>
      <c r="D2" s="142" t="s">
        <v>1</v>
      </c>
      <c r="E2" s="142"/>
      <c r="F2" s="142"/>
      <c r="G2" s="59"/>
      <c r="H2" s="59"/>
      <c r="I2" s="60"/>
      <c r="J2" s="60"/>
      <c r="K2" s="53"/>
      <c r="L2" s="53"/>
      <c r="M2" s="53"/>
      <c r="N2" s="53"/>
      <c r="O2" s="53"/>
      <c r="P2" s="55"/>
      <c r="Q2" s="55"/>
      <c r="R2" s="55"/>
      <c r="S2" s="53"/>
    </row>
    <row r="3" spans="3:19" s="5" customFormat="1">
      <c r="C3" s="53"/>
      <c r="D3" s="6" t="s">
        <v>2</v>
      </c>
      <c r="E3" s="6" t="s">
        <v>3</v>
      </c>
      <c r="F3" s="6"/>
      <c r="G3" s="8"/>
      <c r="H3" s="8"/>
      <c r="I3" s="61"/>
      <c r="J3" s="61"/>
      <c r="K3" s="53"/>
      <c r="L3" s="53"/>
      <c r="M3" s="53"/>
      <c r="N3" s="53"/>
      <c r="O3" s="53"/>
      <c r="P3" s="55"/>
      <c r="Q3" s="55"/>
      <c r="R3" s="55"/>
      <c r="S3" s="53"/>
    </row>
    <row r="4" spans="3:19" s="5" customFormat="1" ht="15">
      <c r="C4" s="53"/>
      <c r="D4" s="116">
        <v>0</v>
      </c>
      <c r="E4" s="115">
        <v>22</v>
      </c>
      <c r="F4" s="116">
        <v>0</v>
      </c>
      <c r="G4" s="60"/>
      <c r="H4" s="60"/>
      <c r="I4" s="61"/>
      <c r="J4" s="61"/>
      <c r="K4" s="53"/>
      <c r="L4" s="53"/>
      <c r="M4" s="53"/>
      <c r="N4" s="53"/>
      <c r="O4" s="53"/>
      <c r="P4" s="55"/>
      <c r="Q4" s="55"/>
      <c r="R4" s="55"/>
      <c r="S4" s="53"/>
    </row>
    <row r="5" spans="3:19" s="5" customFormat="1" ht="15">
      <c r="C5" s="53"/>
      <c r="D5" s="117">
        <v>20000</v>
      </c>
      <c r="E5" s="115">
        <v>29</v>
      </c>
      <c r="F5" s="116">
        <v>4400</v>
      </c>
      <c r="G5" s="60"/>
      <c r="H5" s="60"/>
      <c r="I5" s="61"/>
      <c r="J5" s="61"/>
      <c r="K5" s="53"/>
      <c r="L5" s="53"/>
      <c r="M5" s="53"/>
      <c r="N5" s="53"/>
      <c r="O5" s="53"/>
      <c r="P5" s="55"/>
      <c r="Q5" s="55"/>
      <c r="R5" s="55"/>
      <c r="S5" s="53"/>
    </row>
    <row r="6" spans="3:19" s="5" customFormat="1" ht="15">
      <c r="C6" s="53"/>
      <c r="D6" s="117">
        <v>30000</v>
      </c>
      <c r="E6" s="115">
        <v>37</v>
      </c>
      <c r="F6" s="116">
        <v>7300</v>
      </c>
      <c r="G6" s="61"/>
      <c r="H6" s="61"/>
      <c r="I6" s="61"/>
      <c r="J6" s="61"/>
      <c r="K6" s="53"/>
      <c r="L6" s="53"/>
      <c r="M6" s="53"/>
      <c r="N6" s="53"/>
      <c r="O6" s="53"/>
      <c r="P6" s="55"/>
      <c r="Q6" s="55"/>
      <c r="R6" s="55"/>
      <c r="S6" s="53"/>
    </row>
    <row r="7" spans="3:19" s="5" customFormat="1" ht="15">
      <c r="C7" s="53"/>
      <c r="D7" s="117">
        <v>40000</v>
      </c>
      <c r="E7" s="115">
        <v>45</v>
      </c>
      <c r="F7" s="116">
        <v>11000</v>
      </c>
      <c r="G7" s="61"/>
      <c r="H7" s="61"/>
      <c r="I7" s="61"/>
      <c r="J7" s="61"/>
      <c r="K7" s="53"/>
      <c r="L7" s="53"/>
      <c r="M7" s="53"/>
      <c r="N7" s="53"/>
      <c r="O7" s="53"/>
      <c r="P7" s="55"/>
      <c r="Q7" s="55"/>
      <c r="R7" s="55"/>
      <c r="S7" s="53"/>
    </row>
    <row r="8" spans="3:19" s="5" customFormat="1" ht="15">
      <c r="C8" s="53"/>
      <c r="D8" s="11"/>
      <c r="E8" s="11"/>
      <c r="F8" s="11"/>
      <c r="G8" s="13"/>
      <c r="H8" s="13"/>
      <c r="I8" s="13"/>
      <c r="J8" s="13"/>
      <c r="K8" s="62"/>
      <c r="L8" s="62"/>
      <c r="M8" s="53"/>
      <c r="N8" s="53"/>
      <c r="O8" s="53"/>
      <c r="P8" s="55"/>
      <c r="Q8" s="55"/>
      <c r="R8" s="55"/>
      <c r="S8" s="53"/>
    </row>
    <row r="9" spans="3:19" s="5" customFormat="1" ht="15">
      <c r="C9" s="13"/>
      <c r="D9" s="2"/>
      <c r="E9" s="2"/>
      <c r="F9" s="15"/>
      <c r="G9" s="53"/>
      <c r="H9" s="53"/>
      <c r="I9" s="53"/>
      <c r="J9" s="55"/>
      <c r="K9" s="53"/>
      <c r="L9" s="53"/>
      <c r="M9" s="53"/>
      <c r="N9" s="53"/>
      <c r="O9" s="53"/>
      <c r="P9" s="55"/>
      <c r="Q9" s="55"/>
      <c r="R9" s="55"/>
      <c r="S9" s="53"/>
    </row>
    <row r="10" spans="3:19" s="5" customFormat="1">
      <c r="C10" s="53"/>
      <c r="D10" s="48"/>
      <c r="E10" s="49"/>
      <c r="F10" s="15"/>
      <c r="G10" s="53"/>
      <c r="H10" s="53"/>
      <c r="I10" s="53"/>
      <c r="J10" s="55"/>
      <c r="K10" s="53"/>
      <c r="L10" s="53"/>
      <c r="M10" s="53"/>
      <c r="N10" s="53"/>
      <c r="O10" s="53"/>
      <c r="P10" s="55"/>
      <c r="Q10" s="55"/>
      <c r="R10" s="55"/>
      <c r="S10" s="53"/>
    </row>
    <row r="11" spans="3:19" s="5" customFormat="1">
      <c r="C11" s="54"/>
      <c r="D11" s="51"/>
      <c r="E11" s="52"/>
      <c r="F11" s="15"/>
      <c r="G11" s="53"/>
      <c r="H11" s="53"/>
      <c r="I11" s="53"/>
      <c r="J11" s="55"/>
      <c r="K11" s="53"/>
      <c r="L11" s="53"/>
      <c r="M11" s="53"/>
      <c r="N11" s="53"/>
      <c r="O11" s="53"/>
      <c r="P11" s="55"/>
      <c r="Q11" s="56" t="s">
        <v>6</v>
      </c>
      <c r="R11" s="56" t="s">
        <v>70</v>
      </c>
      <c r="S11" s="57" t="s">
        <v>10</v>
      </c>
    </row>
    <row r="12" spans="3:19" s="5" customFormat="1" ht="15">
      <c r="C12" s="53"/>
      <c r="D12" s="48"/>
      <c r="E12" s="49"/>
      <c r="F12" s="15"/>
      <c r="G12" s="63">
        <f>Υπολογισμοί!G21</f>
        <v>11209.56</v>
      </c>
      <c r="H12" s="63">
        <f>VLOOKUP(G12,$D$4:$F$7,1)</f>
        <v>0</v>
      </c>
      <c r="I12" s="64">
        <f>G12-H12</f>
        <v>11209.56</v>
      </c>
      <c r="J12" s="63">
        <f>VLOOKUP(G12,$D$4:$E$7,2)</f>
        <v>22</v>
      </c>
      <c r="K12" s="63">
        <f>VLOOKUP(G12,$D$4:$F$7,3)</f>
        <v>0</v>
      </c>
      <c r="L12" s="63">
        <f>ROUND((I12*J12/100)+K12,2)</f>
        <v>2466.1</v>
      </c>
      <c r="M12" s="63"/>
      <c r="N12" s="63"/>
      <c r="O12" s="65">
        <f t="shared" ref="O12:O16" si="0">IF(ISERROR(L12),0,L12)</f>
        <v>2466.1</v>
      </c>
      <c r="P12" s="66"/>
      <c r="Q12" s="66">
        <f>IF(O12-P12&lt;0,0,O12-P12)</f>
        <v>2466.1</v>
      </c>
      <c r="R12" s="66">
        <f>Εισφορ.Αλληλεγγύης!O15</f>
        <v>0</v>
      </c>
      <c r="S12" s="66">
        <f>Q12+R12</f>
        <v>2466.1</v>
      </c>
    </row>
    <row r="13" spans="3:19" s="5" customFormat="1" ht="15">
      <c r="C13" s="53"/>
      <c r="D13" s="48"/>
      <c r="E13" s="49"/>
      <c r="F13" s="15"/>
      <c r="G13" s="63">
        <f>Υπολογισμοί!H21</f>
        <v>12213.023580000001</v>
      </c>
      <c r="H13" s="63">
        <f t="shared" ref="H13:H16" si="1">VLOOKUP(G13,$D$4:$F$7,1)</f>
        <v>0</v>
      </c>
      <c r="I13" s="64">
        <f t="shared" ref="I13:I16" si="2">G13-H13</f>
        <v>12213.023580000001</v>
      </c>
      <c r="J13" s="63">
        <f t="shared" ref="J13:J16" si="3">VLOOKUP(G13,$D$4:$E$7,2)</f>
        <v>22</v>
      </c>
      <c r="K13" s="63">
        <f t="shared" ref="K13:K16" si="4">VLOOKUP(G13,$D$4:$F$7,3)</f>
        <v>0</v>
      </c>
      <c r="L13" s="63">
        <f t="shared" ref="L13:L16" si="5">ROUND((I13*J13/100)+K13,2)</f>
        <v>2686.87</v>
      </c>
      <c r="M13" s="63"/>
      <c r="N13" s="63"/>
      <c r="O13" s="65">
        <f t="shared" si="0"/>
        <v>2686.87</v>
      </c>
      <c r="P13" s="66"/>
      <c r="Q13" s="66">
        <f t="shared" ref="Q13:Q16" si="6">IF(O13-P13&lt;0,0,O13-P13)</f>
        <v>2686.87</v>
      </c>
      <c r="R13" s="66">
        <f>Εισφορ.Αλληλεγγύης!O16</f>
        <v>4.6900000000000004</v>
      </c>
      <c r="S13" s="66">
        <f t="shared" ref="S13:S16" si="7">Q13+R13</f>
        <v>2691.56</v>
      </c>
    </row>
    <row r="14" spans="3:19" s="5" customFormat="1" ht="15">
      <c r="C14" s="53"/>
      <c r="D14" s="48"/>
      <c r="E14" s="49"/>
      <c r="F14" s="15"/>
      <c r="G14" s="63">
        <f>Υπολογισμοί!I21</f>
        <v>11942.590145189999</v>
      </c>
      <c r="H14" s="63">
        <f t="shared" si="1"/>
        <v>0</v>
      </c>
      <c r="I14" s="64">
        <f t="shared" si="2"/>
        <v>11942.590145189999</v>
      </c>
      <c r="J14" s="63">
        <f t="shared" si="3"/>
        <v>22</v>
      </c>
      <c r="K14" s="63">
        <f t="shared" si="4"/>
        <v>0</v>
      </c>
      <c r="L14" s="63">
        <f t="shared" si="5"/>
        <v>2627.37</v>
      </c>
      <c r="M14" s="63"/>
      <c r="N14" s="63"/>
      <c r="O14" s="65">
        <f t="shared" si="0"/>
        <v>2627.37</v>
      </c>
      <c r="P14" s="66"/>
      <c r="Q14" s="66">
        <f t="shared" si="6"/>
        <v>2627.37</v>
      </c>
      <c r="R14" s="66">
        <f>Εισφορ.Αλληλεγγύης!O17</f>
        <v>0</v>
      </c>
      <c r="S14" s="66">
        <f t="shared" si="7"/>
        <v>2627.37</v>
      </c>
    </row>
    <row r="15" spans="3:19" s="5" customFormat="1" ht="15">
      <c r="C15" s="53"/>
      <c r="D15" s="48"/>
      <c r="E15" s="49"/>
      <c r="F15" s="15"/>
      <c r="G15" s="63">
        <f>Υπολογισμοί!J21</f>
        <v>12015.471955871295</v>
      </c>
      <c r="H15" s="63">
        <f t="shared" si="1"/>
        <v>0</v>
      </c>
      <c r="I15" s="64">
        <f t="shared" si="2"/>
        <v>12015.471955871295</v>
      </c>
      <c r="J15" s="63">
        <f t="shared" si="3"/>
        <v>22</v>
      </c>
      <c r="K15" s="63">
        <f t="shared" si="4"/>
        <v>0</v>
      </c>
      <c r="L15" s="63">
        <f t="shared" si="5"/>
        <v>2643.4</v>
      </c>
      <c r="M15" s="63"/>
      <c r="N15" s="63"/>
      <c r="O15" s="65">
        <f t="shared" si="0"/>
        <v>2643.4</v>
      </c>
      <c r="P15" s="66"/>
      <c r="Q15" s="66">
        <f t="shared" si="6"/>
        <v>2643.4</v>
      </c>
      <c r="R15" s="66">
        <f>Εισφορ.Αλληλεγγύης!O18</f>
        <v>0.34</v>
      </c>
      <c r="S15" s="66">
        <f t="shared" si="7"/>
        <v>2643.7400000000002</v>
      </c>
    </row>
    <row r="16" spans="3:19" s="5" customFormat="1" ht="15">
      <c r="C16" s="53"/>
      <c r="D16" s="48"/>
      <c r="E16" s="49"/>
      <c r="F16" s="15"/>
      <c r="G16" s="63">
        <f>Υπολογισμοί!K21</f>
        <v>11995.830307892686</v>
      </c>
      <c r="H16" s="63">
        <f t="shared" si="1"/>
        <v>0</v>
      </c>
      <c r="I16" s="64">
        <f t="shared" si="2"/>
        <v>11995.830307892686</v>
      </c>
      <c r="J16" s="63">
        <f t="shared" si="3"/>
        <v>22</v>
      </c>
      <c r="K16" s="63">
        <f t="shared" si="4"/>
        <v>0</v>
      </c>
      <c r="L16" s="63">
        <f t="shared" si="5"/>
        <v>2639.08</v>
      </c>
      <c r="M16" s="63"/>
      <c r="N16" s="63"/>
      <c r="O16" s="65">
        <f t="shared" si="0"/>
        <v>2639.08</v>
      </c>
      <c r="P16" s="66"/>
      <c r="Q16" s="66">
        <f t="shared" si="6"/>
        <v>2639.08</v>
      </c>
      <c r="R16" s="66">
        <f>Εισφορ.Αλληλεγγύης!O19</f>
        <v>0</v>
      </c>
      <c r="S16" s="66">
        <f t="shared" si="7"/>
        <v>2639.08</v>
      </c>
    </row>
    <row r="17" spans="4:19" ht="15">
      <c r="D17" s="48"/>
      <c r="E17" s="49"/>
      <c r="G17" s="66">
        <f>Υπολογισμοί!L21</f>
        <v>12001.123732022921</v>
      </c>
      <c r="H17" s="63">
        <f t="shared" ref="H17:H18" si="8">VLOOKUP(G17,$D$4:$F$7,1)</f>
        <v>0</v>
      </c>
      <c r="I17" s="64">
        <f t="shared" ref="I17:I18" si="9">G17-H17</f>
        <v>12001.123732022921</v>
      </c>
      <c r="J17" s="63">
        <f t="shared" ref="J17:J18" si="10">VLOOKUP(G17,$D$4:$E$7,2)</f>
        <v>22</v>
      </c>
      <c r="K17" s="63">
        <f t="shared" ref="K17:K18" si="11">VLOOKUP(G17,$D$4:$F$7,3)</f>
        <v>0</v>
      </c>
      <c r="L17" s="63">
        <f t="shared" ref="L17:L18" si="12">ROUND((I17*J17/100)+K17,2)</f>
        <v>2640.25</v>
      </c>
      <c r="M17" s="63"/>
      <c r="N17" s="63"/>
      <c r="O17" s="65">
        <f t="shared" ref="O17:O18" si="13">IF(ISERROR(L17),0,L17)</f>
        <v>2640.25</v>
      </c>
      <c r="P17" s="66"/>
      <c r="Q17" s="66">
        <f t="shared" ref="Q17:Q18" si="14">IF(O17-P17&lt;0,0,O17-P17)</f>
        <v>2640.25</v>
      </c>
      <c r="R17" s="66">
        <f>Εισφορ.Αλληλεγγύης!O20</f>
        <v>0.02</v>
      </c>
      <c r="S17" s="66">
        <f t="shared" ref="S17:S18" si="15">Q17+R17</f>
        <v>2640.27</v>
      </c>
    </row>
    <row r="18" spans="4:19" ht="15">
      <c r="D18" s="48"/>
      <c r="E18" s="49"/>
      <c r="G18" s="66">
        <f>Υπολογισμοί!M21</f>
        <v>11999.697154219823</v>
      </c>
      <c r="H18" s="63">
        <f t="shared" si="8"/>
        <v>0</v>
      </c>
      <c r="I18" s="64">
        <f t="shared" si="9"/>
        <v>11999.697154219823</v>
      </c>
      <c r="J18" s="63">
        <f t="shared" si="10"/>
        <v>22</v>
      </c>
      <c r="K18" s="63">
        <f t="shared" si="11"/>
        <v>0</v>
      </c>
      <c r="L18" s="63">
        <f t="shared" si="12"/>
        <v>2639.93</v>
      </c>
      <c r="M18" s="63"/>
      <c r="N18" s="63"/>
      <c r="O18" s="65">
        <f t="shared" si="13"/>
        <v>2639.93</v>
      </c>
      <c r="P18" s="66"/>
      <c r="Q18" s="66">
        <f t="shared" si="14"/>
        <v>2639.93</v>
      </c>
      <c r="R18" s="66">
        <f>Εισφορ.Αλληλεγγύης!O21</f>
        <v>0</v>
      </c>
      <c r="S18" s="66">
        <f t="shared" si="15"/>
        <v>2639.93</v>
      </c>
    </row>
    <row r="19" spans="4:19">
      <c r="D19" s="48"/>
      <c r="E19" s="49"/>
    </row>
    <row r="20" spans="4:19">
      <c r="D20" s="48"/>
      <c r="E20" s="49"/>
    </row>
    <row r="21" spans="4:19">
      <c r="D21" s="48"/>
      <c r="E21" s="49"/>
    </row>
    <row r="22" spans="4:19">
      <c r="D22" s="48"/>
      <c r="E22" s="49"/>
    </row>
    <row r="23" spans="4:19">
      <c r="D23" s="48"/>
      <c r="E23" s="49"/>
    </row>
    <row r="24" spans="4:19">
      <c r="D24" s="48"/>
      <c r="E24" s="49"/>
    </row>
    <row r="25" spans="4:19">
      <c r="D25" s="48"/>
      <c r="E25" s="49"/>
    </row>
    <row r="26" spans="4:19">
      <c r="D26" s="48"/>
      <c r="E26" s="49"/>
    </row>
    <row r="27" spans="4:19">
      <c r="D27" s="48"/>
      <c r="E27" s="49"/>
    </row>
  </sheetData>
  <mergeCells count="1">
    <mergeCell ref="D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3"/>
  <dimension ref="A3:AK68"/>
  <sheetViews>
    <sheetView showGridLines="0" zoomScaleNormal="100" workbookViewId="0">
      <selection activeCell="H21" sqref="H21"/>
    </sheetView>
  </sheetViews>
  <sheetFormatPr defaultRowHeight="12.75"/>
  <cols>
    <col min="1" max="1" width="3" customWidth="1"/>
    <col min="2" max="2" width="2.42578125" customWidth="1"/>
    <col min="3" max="3" width="14.85546875" hidden="1" customWidth="1"/>
    <col min="4" max="4" width="3.85546875" style="84" customWidth="1"/>
    <col min="5" max="5" width="20.5703125" style="88" customWidth="1"/>
    <col min="6" max="6" width="11.5703125" customWidth="1"/>
    <col min="7" max="7" width="11.7109375" customWidth="1"/>
    <col min="8" max="8" width="11.140625" customWidth="1"/>
    <col min="9" max="9" width="12" customWidth="1"/>
    <col min="10" max="10" width="10.42578125" customWidth="1"/>
    <col min="11" max="11" width="11" customWidth="1"/>
    <col min="12" max="12" width="10.7109375" customWidth="1"/>
    <col min="13" max="13" width="12.42578125" customWidth="1"/>
    <col min="14" max="14" width="3.7109375" customWidth="1"/>
    <col min="15" max="15" width="10.42578125" customWidth="1"/>
    <col min="16" max="19" width="9.5703125" customWidth="1"/>
    <col min="20" max="20" width="11.42578125" customWidth="1"/>
    <col min="21" max="22" width="9.85546875" customWidth="1"/>
    <col min="26" max="26" width="9.140625" customWidth="1"/>
    <col min="30" max="30" width="10.42578125" customWidth="1"/>
    <col min="31" max="31" width="16.85546875" customWidth="1"/>
    <col min="32" max="37" width="10.42578125" customWidth="1"/>
  </cols>
  <sheetData>
    <row r="3" spans="3:30" ht="15.75">
      <c r="E3" s="143" t="s">
        <v>91</v>
      </c>
      <c r="F3" s="143"/>
      <c r="G3" s="143"/>
      <c r="H3" s="143"/>
      <c r="I3" s="143"/>
      <c r="J3" s="143"/>
      <c r="K3" s="144">
        <v>1</v>
      </c>
      <c r="L3" s="145"/>
    </row>
    <row r="4" spans="3:30" ht="15">
      <c r="E4" s="143" t="s">
        <v>89</v>
      </c>
      <c r="F4" s="143"/>
      <c r="G4" s="143"/>
      <c r="H4" s="143"/>
      <c r="I4" s="143"/>
      <c r="J4" s="143"/>
      <c r="K4" s="146">
        <v>0.26950000000000002</v>
      </c>
      <c r="L4" s="147"/>
    </row>
    <row r="5" spans="3:30" ht="15">
      <c r="E5" s="143" t="s">
        <v>68</v>
      </c>
      <c r="F5" s="143"/>
      <c r="G5" s="143"/>
      <c r="H5" s="143"/>
      <c r="I5" s="143"/>
      <c r="J5" s="143"/>
      <c r="K5" s="148">
        <v>4024.44</v>
      </c>
      <c r="L5" s="149"/>
    </row>
    <row r="6" spans="3:30" ht="15">
      <c r="E6" s="143" t="s">
        <v>78</v>
      </c>
      <c r="F6" s="143"/>
      <c r="G6" s="143"/>
      <c r="H6" s="143"/>
      <c r="I6" s="143"/>
      <c r="J6" s="143"/>
      <c r="K6" s="150">
        <v>15234</v>
      </c>
      <c r="L6" s="151"/>
    </row>
    <row r="7" spans="3:30" ht="15">
      <c r="E7" s="143" t="s">
        <v>79</v>
      </c>
      <c r="F7" s="143"/>
      <c r="G7" s="143"/>
      <c r="H7" s="143"/>
      <c r="I7" s="143"/>
      <c r="J7" s="143"/>
      <c r="K7" s="150"/>
      <c r="L7" s="151"/>
    </row>
    <row r="8" spans="3:30" ht="15">
      <c r="E8" s="154" t="s">
        <v>80</v>
      </c>
      <c r="F8" s="154"/>
      <c r="G8" s="154"/>
      <c r="H8" s="154"/>
      <c r="I8" s="154"/>
      <c r="J8" s="154"/>
      <c r="K8" s="152">
        <f>IF((F22*55%)-(((K3*F13))*20%)&lt;0,0,(F22*55%)-((K3*F13))*20%)</f>
        <v>0</v>
      </c>
      <c r="L8" s="153"/>
    </row>
    <row r="9" spans="3:30" ht="15">
      <c r="E9" s="89"/>
      <c r="F9" s="85"/>
      <c r="G9" s="85"/>
      <c r="H9" s="85"/>
      <c r="I9" s="85"/>
      <c r="J9" s="85"/>
      <c r="K9" s="86" t="s">
        <v>81</v>
      </c>
      <c r="L9" s="106">
        <v>1895.35</v>
      </c>
    </row>
    <row r="10" spans="3:30">
      <c r="E10" s="90"/>
      <c r="F10" s="74"/>
      <c r="G10" s="74"/>
      <c r="H10" s="74"/>
      <c r="I10" s="74"/>
      <c r="J10" s="74"/>
      <c r="K10" s="86" t="s">
        <v>82</v>
      </c>
      <c r="L10" s="106">
        <v>18953.900000000001</v>
      </c>
    </row>
    <row r="12" spans="3:30" ht="21.75" thickBot="1">
      <c r="E12" s="104" t="s">
        <v>17</v>
      </c>
      <c r="F12" s="105">
        <v>2015</v>
      </c>
      <c r="G12" s="105">
        <v>2016</v>
      </c>
      <c r="H12" s="105">
        <v>2017</v>
      </c>
      <c r="I12" s="105">
        <v>2018</v>
      </c>
      <c r="J12" s="105">
        <v>2019</v>
      </c>
      <c r="K12" s="105">
        <v>2020</v>
      </c>
      <c r="L12" s="105">
        <v>2021</v>
      </c>
      <c r="M12" s="105">
        <v>2022</v>
      </c>
    </row>
    <row r="13" spans="3:30" ht="25.5">
      <c r="C13" s="80"/>
      <c r="D13" s="96">
        <v>1</v>
      </c>
      <c r="E13" s="99" t="s">
        <v>83</v>
      </c>
      <c r="F13" s="100">
        <f>K6</f>
        <v>15234</v>
      </c>
      <c r="G13" s="100">
        <f>F13</f>
        <v>15234</v>
      </c>
      <c r="H13" s="100">
        <f>F13</f>
        <v>15234</v>
      </c>
      <c r="I13" s="100">
        <f>F13</f>
        <v>15234</v>
      </c>
      <c r="J13" s="100">
        <f>F13</f>
        <v>15234</v>
      </c>
      <c r="K13" s="100">
        <f>F13</f>
        <v>15234</v>
      </c>
      <c r="L13" s="100">
        <f t="shared" ref="L13" si="0">G13</f>
        <v>15234</v>
      </c>
      <c r="M13" s="100">
        <f>H13</f>
        <v>15234</v>
      </c>
    </row>
    <row r="14" spans="3:30" ht="15" hidden="1">
      <c r="C14" s="79"/>
      <c r="D14" s="96"/>
      <c r="AD14" s="29"/>
    </row>
    <row r="15" spans="3:30" ht="15" hidden="1">
      <c r="C15" s="81"/>
      <c r="D15" s="96"/>
      <c r="AD15" s="29"/>
    </row>
    <row r="16" spans="3:30" ht="15.75" thickBot="1">
      <c r="C16" s="81"/>
      <c r="D16" s="96">
        <v>2</v>
      </c>
      <c r="E16" s="99" t="s">
        <v>18</v>
      </c>
      <c r="F16" s="100">
        <f>K7</f>
        <v>0</v>
      </c>
      <c r="G16" s="100">
        <f>F16</f>
        <v>0</v>
      </c>
      <c r="H16" s="100">
        <f>F16</f>
        <v>0</v>
      </c>
      <c r="I16" s="100">
        <f>F16</f>
        <v>0</v>
      </c>
      <c r="J16" s="100">
        <f>F16</f>
        <v>0</v>
      </c>
      <c r="K16" s="100">
        <f>F16</f>
        <v>0</v>
      </c>
      <c r="L16" s="100">
        <f>G16</f>
        <v>0</v>
      </c>
      <c r="M16" s="100">
        <f>H16</f>
        <v>0</v>
      </c>
    </row>
    <row r="17" spans="1:37" ht="16.5" thickTop="1" thickBot="1">
      <c r="C17" s="81"/>
      <c r="D17" s="96"/>
      <c r="E17" s="133" t="s">
        <v>93</v>
      </c>
      <c r="F17" s="134">
        <f>F13-F16</f>
        <v>15234</v>
      </c>
      <c r="G17" s="134">
        <f t="shared" ref="G17:M17" si="1">G13-G16</f>
        <v>15234</v>
      </c>
      <c r="H17" s="134">
        <f t="shared" si="1"/>
        <v>15234</v>
      </c>
      <c r="I17" s="134">
        <f t="shared" si="1"/>
        <v>15234</v>
      </c>
      <c r="J17" s="134">
        <f t="shared" si="1"/>
        <v>15234</v>
      </c>
      <c r="K17" s="134">
        <f t="shared" si="1"/>
        <v>15234</v>
      </c>
      <c r="L17" s="134">
        <f t="shared" si="1"/>
        <v>15234</v>
      </c>
      <c r="M17" s="134">
        <f t="shared" si="1"/>
        <v>15234</v>
      </c>
    </row>
    <row r="18" spans="1:37" ht="27" thickTop="1" thickBot="1">
      <c r="C18" s="81"/>
      <c r="D18" s="96">
        <v>3</v>
      </c>
      <c r="E18" s="102" t="s">
        <v>84</v>
      </c>
      <c r="F18" s="103">
        <f>K5</f>
        <v>4024.44</v>
      </c>
      <c r="G18" s="103">
        <f>K5</f>
        <v>4024.44</v>
      </c>
      <c r="H18" s="103"/>
      <c r="I18" s="103"/>
      <c r="J18" s="103"/>
      <c r="K18" s="103"/>
      <c r="L18" s="103"/>
      <c r="M18" s="103"/>
    </row>
    <row r="19" spans="1:37" ht="27" thickTop="1" thickBot="1">
      <c r="C19" s="81"/>
      <c r="D19" s="96">
        <v>4</v>
      </c>
      <c r="E19" s="102" t="s">
        <v>88</v>
      </c>
      <c r="F19" s="103"/>
      <c r="G19" s="103"/>
      <c r="H19" s="103">
        <f>IF(G21*$K$4&lt;$L$9,$L$9,IF((G21*$K$4)&gt;$L$10,$L$10,(G21*$K$4)))</f>
        <v>3020.97642</v>
      </c>
      <c r="I19" s="103">
        <f>IF(H21*$K$4&lt;$L$9,$L$9,IF(H21*$K$4&gt;$L$10,$L$10,(H21*$K$4)))</f>
        <v>3291.4098548100005</v>
      </c>
      <c r="J19" s="103">
        <f>IF(I21*$K$4&lt;$L$9,$L$9,IF(I21*$K$4&gt;$L$10,$L$10,(I21*$K$4)))</f>
        <v>3218.528044128705</v>
      </c>
      <c r="K19" s="103">
        <f>IF(J21*$K$4&lt;$L$9,$L$9,IF(J21*$K$4&gt;$L$10,$L$10,(J21*$K$4)))</f>
        <v>3238.1696921073144</v>
      </c>
      <c r="L19" s="103">
        <f>IF(K21*$K$4&lt;$L$9,$L$9,IF(K21*$K$4&gt;$L$10,$L$10,(K21*$K$4)))</f>
        <v>3232.8762679770789</v>
      </c>
      <c r="M19" s="103">
        <f>IF(L21*$K$4&lt;$L$9,$L$9,IF(L21*$K$4&gt;$L$10,$L$10,(L21*$K$4)))</f>
        <v>3234.3028457801774</v>
      </c>
    </row>
    <row r="20" spans="1:37" ht="15.75" thickTop="1">
      <c r="C20" s="81"/>
      <c r="D20" s="96">
        <v>5</v>
      </c>
      <c r="E20" s="99" t="s">
        <v>19</v>
      </c>
      <c r="F20" s="100">
        <f>F16+F18+F19</f>
        <v>4024.44</v>
      </c>
      <c r="G20" s="100">
        <f t="shared" ref="G20:M20" si="2">G16+G18+G19</f>
        <v>4024.44</v>
      </c>
      <c r="H20" s="100">
        <f t="shared" si="2"/>
        <v>3020.97642</v>
      </c>
      <c r="I20" s="100">
        <f t="shared" si="2"/>
        <v>3291.4098548100005</v>
      </c>
      <c r="J20" s="100">
        <f t="shared" si="2"/>
        <v>3218.528044128705</v>
      </c>
      <c r="K20" s="100">
        <f t="shared" si="2"/>
        <v>3238.1696921073144</v>
      </c>
      <c r="L20" s="100">
        <f t="shared" si="2"/>
        <v>3232.8762679770789</v>
      </c>
      <c r="M20" s="100">
        <f t="shared" si="2"/>
        <v>3234.3028457801774</v>
      </c>
      <c r="O20" s="41"/>
      <c r="P20" s="131">
        <v>2016</v>
      </c>
      <c r="Q20" s="131">
        <v>2017</v>
      </c>
      <c r="R20" s="131">
        <v>2018</v>
      </c>
      <c r="S20" s="131">
        <v>2019</v>
      </c>
      <c r="T20" s="131">
        <v>2020</v>
      </c>
      <c r="U20" s="131">
        <v>2021</v>
      </c>
      <c r="V20" s="131">
        <v>2022</v>
      </c>
      <c r="AF20" s="43"/>
      <c r="AG20" s="43"/>
      <c r="AH20" s="43"/>
      <c r="AI20" s="43"/>
      <c r="AJ20" s="43"/>
      <c r="AK20" s="43"/>
    </row>
    <row r="21" spans="1:37" ht="15">
      <c r="C21" s="81"/>
      <c r="D21" s="96">
        <v>6</v>
      </c>
      <c r="E21" s="99" t="s">
        <v>73</v>
      </c>
      <c r="F21" s="100">
        <f t="shared" ref="F21:M21" si="3">F13-F20</f>
        <v>11209.56</v>
      </c>
      <c r="G21" s="100">
        <f t="shared" si="3"/>
        <v>11209.56</v>
      </c>
      <c r="H21" s="100">
        <f t="shared" si="3"/>
        <v>12213.023580000001</v>
      </c>
      <c r="I21" s="100">
        <f t="shared" si="3"/>
        <v>11942.590145189999</v>
      </c>
      <c r="J21" s="100">
        <f t="shared" si="3"/>
        <v>12015.471955871295</v>
      </c>
      <c r="K21" s="100">
        <f t="shared" si="3"/>
        <v>11995.830307892686</v>
      </c>
      <c r="L21" s="100">
        <f t="shared" si="3"/>
        <v>12001.123732022921</v>
      </c>
      <c r="M21" s="100">
        <f t="shared" si="3"/>
        <v>11999.697154219823</v>
      </c>
      <c r="O21" s="95">
        <f>K6</f>
        <v>15234</v>
      </c>
      <c r="P21" s="32">
        <f t="shared" ref="P21:V21" si="4">G41</f>
        <v>448.38559999999961</v>
      </c>
      <c r="Q21" s="32">
        <f t="shared" si="4"/>
        <v>1226.3891799999992</v>
      </c>
      <c r="R21" s="32">
        <f t="shared" si="4"/>
        <v>1020.1457451899996</v>
      </c>
      <c r="S21" s="32">
        <f t="shared" si="4"/>
        <v>1076.6575558712948</v>
      </c>
      <c r="T21" s="32">
        <f t="shared" si="4"/>
        <v>1061.6759078926852</v>
      </c>
      <c r="U21" s="32">
        <f t="shared" si="4"/>
        <v>1065.7793320229221</v>
      </c>
      <c r="V21" s="32">
        <f t="shared" si="4"/>
        <v>1064.6927542198218</v>
      </c>
      <c r="AF21" s="44"/>
      <c r="AG21" s="45"/>
      <c r="AH21" s="45"/>
      <c r="AI21" s="45"/>
      <c r="AJ21" s="45"/>
      <c r="AK21" s="45"/>
    </row>
    <row r="22" spans="1:37" ht="15">
      <c r="A22" s="30"/>
      <c r="C22" s="79"/>
      <c r="D22" s="96">
        <v>7</v>
      </c>
      <c r="E22" s="99" t="s">
        <v>75</v>
      </c>
      <c r="F22" s="100">
        <f>IF(F21&gt;50000,(((F21-50000)*33%)+13000),IF((F21*26%)&lt;0,0,F21*26%))</f>
        <v>2914.4856</v>
      </c>
      <c r="G22" s="100">
        <f>'4172_el'!Q12</f>
        <v>2466.1</v>
      </c>
      <c r="H22" s="100">
        <f>'4172_el'!Q13</f>
        <v>2686.87</v>
      </c>
      <c r="I22" s="100">
        <f>'4172_el'!Q14</f>
        <v>2627.37</v>
      </c>
      <c r="J22" s="100">
        <f>'4172_el'!Q15</f>
        <v>2643.4</v>
      </c>
      <c r="K22" s="100">
        <f>'4172_el'!Q16</f>
        <v>2639.08</v>
      </c>
      <c r="L22" s="100">
        <f>'4172_el'!Q17</f>
        <v>2640.25</v>
      </c>
      <c r="M22" s="100">
        <f>'4172_el'!Q18</f>
        <v>2639.93</v>
      </c>
      <c r="AF22" s="44"/>
      <c r="AG22" s="45"/>
      <c r="AH22" s="45"/>
      <c r="AI22" s="45"/>
      <c r="AJ22" s="45"/>
      <c r="AK22" s="45"/>
    </row>
    <row r="23" spans="1:37" ht="15">
      <c r="A23" s="73"/>
      <c r="B23" s="45"/>
      <c r="C23" s="79"/>
      <c r="D23" s="96">
        <v>8</v>
      </c>
      <c r="E23" s="99" t="s">
        <v>16</v>
      </c>
      <c r="F23" s="100">
        <f>IF(F21&lt;12001,0,IF(AND(F21&lt;20001,F21&gt;12001),(F21*0.7%),IF(AND(F21&gt;20001,F21&lt;30001),(F21*1.4%),IF(AND(F21&gt;30001,F21&lt;50001),(F21*2%),IF(AND(F21&gt;50001,F21&lt;100001),(F21*4%),IF(AND(F21&gt;100001,F21&lt;500001),(F21*6%),))))))</f>
        <v>0</v>
      </c>
      <c r="G23" s="100">
        <f>Εισφορ.Αλληλεγγύης!O15</f>
        <v>0</v>
      </c>
      <c r="H23" s="100">
        <f>Εισφορ.Αλληλεγγύης!O16</f>
        <v>4.6900000000000004</v>
      </c>
      <c r="I23" s="100">
        <f>Εισφορ.Αλληλεγγύης!O17</f>
        <v>0</v>
      </c>
      <c r="J23" s="100">
        <f>Εισφορ.Αλληλεγγύης!O18</f>
        <v>0.34</v>
      </c>
      <c r="K23" s="100">
        <f>Εισφορ.Αλληλεγγύης!O19</f>
        <v>0</v>
      </c>
      <c r="L23" s="100">
        <f>Εισφορ.Αλληλεγγύης!O20</f>
        <v>0.02</v>
      </c>
      <c r="M23" s="100">
        <f>Εισφορ.Αλληλεγγύης!O21</f>
        <v>0</v>
      </c>
      <c r="AF23" s="44"/>
      <c r="AG23" s="45"/>
      <c r="AH23" s="45"/>
      <c r="AI23" s="45"/>
      <c r="AJ23" s="45"/>
      <c r="AK23" s="45"/>
    </row>
    <row r="24" spans="1:37" ht="15">
      <c r="A24" s="73"/>
      <c r="B24" s="45"/>
      <c r="C24" s="83"/>
      <c r="D24" s="96">
        <v>9</v>
      </c>
      <c r="E24" s="99" t="s">
        <v>0</v>
      </c>
      <c r="F24" s="100">
        <v>650</v>
      </c>
      <c r="G24" s="100">
        <v>650</v>
      </c>
      <c r="H24" s="100">
        <v>650</v>
      </c>
      <c r="I24" s="100">
        <v>650</v>
      </c>
      <c r="J24" s="100">
        <v>650</v>
      </c>
      <c r="K24" s="100">
        <v>650</v>
      </c>
      <c r="L24" s="100">
        <v>650</v>
      </c>
      <c r="M24" s="100">
        <v>650</v>
      </c>
      <c r="AF24" s="44"/>
      <c r="AG24" s="45"/>
      <c r="AH24" s="45"/>
      <c r="AI24" s="45"/>
      <c r="AJ24" s="45"/>
      <c r="AK24" s="45"/>
    </row>
    <row r="25" spans="1:37" ht="15.75" thickBot="1">
      <c r="A25" s="73"/>
      <c r="B25" s="45"/>
      <c r="C25" s="83"/>
      <c r="D25" s="96">
        <v>10</v>
      </c>
      <c r="E25" s="114" t="s">
        <v>72</v>
      </c>
      <c r="F25" s="101">
        <f>F21-F22-F23-F24</f>
        <v>7645.0743999999995</v>
      </c>
      <c r="G25" s="101">
        <f t="shared" ref="G25:M25" si="5">G21-G22-G23-G24</f>
        <v>8093.4599999999991</v>
      </c>
      <c r="H25" s="101">
        <f t="shared" si="5"/>
        <v>8871.4635800000015</v>
      </c>
      <c r="I25" s="101">
        <f t="shared" si="5"/>
        <v>8665.22014519</v>
      </c>
      <c r="J25" s="101">
        <f t="shared" si="5"/>
        <v>8721.7319558712952</v>
      </c>
      <c r="K25" s="101">
        <f t="shared" si="5"/>
        <v>8706.7503078926857</v>
      </c>
      <c r="L25" s="101">
        <f t="shared" si="5"/>
        <v>8710.8537320229207</v>
      </c>
      <c r="M25" s="101">
        <f t="shared" si="5"/>
        <v>8709.7671542198223</v>
      </c>
      <c r="AF25" s="44"/>
      <c r="AG25" s="45"/>
      <c r="AH25" s="45"/>
      <c r="AI25" s="45"/>
      <c r="AJ25" s="45"/>
      <c r="AK25" s="45"/>
    </row>
    <row r="26" spans="1:37" ht="15">
      <c r="A26" s="40"/>
      <c r="B26" s="45"/>
      <c r="C26" s="82"/>
      <c r="D26" s="96"/>
    </row>
    <row r="27" spans="1:37" ht="25.5">
      <c r="A27" s="77"/>
      <c r="B27" s="45"/>
      <c r="C27" s="82"/>
      <c r="D27" s="97">
        <v>11</v>
      </c>
      <c r="E27" s="125" t="s">
        <v>77</v>
      </c>
      <c r="F27" s="126">
        <f t="shared" ref="F27:M27" si="6">((F13*$K$3))*20%</f>
        <v>3046.8</v>
      </c>
      <c r="G27" s="126">
        <f t="shared" si="6"/>
        <v>3046.8</v>
      </c>
      <c r="H27" s="126">
        <f t="shared" si="6"/>
        <v>3046.8</v>
      </c>
      <c r="I27" s="126">
        <f t="shared" si="6"/>
        <v>3046.8</v>
      </c>
      <c r="J27" s="126">
        <f t="shared" si="6"/>
        <v>3046.8</v>
      </c>
      <c r="K27" s="126">
        <f t="shared" si="6"/>
        <v>3046.8</v>
      </c>
      <c r="L27" s="126">
        <f t="shared" si="6"/>
        <v>3046.8</v>
      </c>
      <c r="M27" s="126">
        <f t="shared" si="6"/>
        <v>3046.8</v>
      </c>
    </row>
    <row r="28" spans="1:37" ht="15">
      <c r="A28" s="73"/>
      <c r="B28" s="45"/>
      <c r="C28" s="82"/>
      <c r="D28" s="96">
        <v>12</v>
      </c>
      <c r="E28" s="127" t="s">
        <v>71</v>
      </c>
      <c r="F28" s="128">
        <f>F22*75%</f>
        <v>2185.8642</v>
      </c>
      <c r="G28" s="128">
        <f>G22*100%</f>
        <v>2466.1</v>
      </c>
      <c r="H28" s="128">
        <f t="shared" ref="H28:M28" si="7">H22*100%</f>
        <v>2686.87</v>
      </c>
      <c r="I28" s="128">
        <f t="shared" si="7"/>
        <v>2627.37</v>
      </c>
      <c r="J28" s="128">
        <f t="shared" si="7"/>
        <v>2643.4</v>
      </c>
      <c r="K28" s="128">
        <f t="shared" si="7"/>
        <v>2639.08</v>
      </c>
      <c r="L28" s="128">
        <f t="shared" si="7"/>
        <v>2640.25</v>
      </c>
      <c r="M28" s="128">
        <f t="shared" si="7"/>
        <v>2639.93</v>
      </c>
    </row>
    <row r="29" spans="1:37" ht="25.5">
      <c r="A29" s="73"/>
      <c r="B29" s="45"/>
      <c r="C29" s="83"/>
      <c r="D29" s="97">
        <v>13</v>
      </c>
      <c r="E29" s="127" t="s">
        <v>90</v>
      </c>
      <c r="F29" s="128">
        <f>IF((F28-F27)&gt;30,(F28-F27),IF((F28-F27)&lt;30,0))</f>
        <v>0</v>
      </c>
      <c r="G29" s="128">
        <f>IF((G28-G27)&gt;30,(G28-G27),IF((G28-G27)&lt;30,0))</f>
        <v>0</v>
      </c>
      <c r="H29" s="128">
        <f>IF((H28-H27)&gt;30,(H28-H27),IF((H28-H27)&lt;30,0))</f>
        <v>0</v>
      </c>
      <c r="I29" s="128">
        <f t="shared" ref="I29:M29" si="8">IF((I28-I27)&gt;30,(I28-I27),IF((I28-I27)&lt;30,0))</f>
        <v>0</v>
      </c>
      <c r="J29" s="128">
        <f t="shared" si="8"/>
        <v>0</v>
      </c>
      <c r="K29" s="128">
        <f t="shared" si="8"/>
        <v>0</v>
      </c>
      <c r="L29" s="128">
        <f t="shared" si="8"/>
        <v>0</v>
      </c>
      <c r="M29" s="128">
        <f t="shared" si="8"/>
        <v>0</v>
      </c>
      <c r="T29" s="29"/>
    </row>
    <row r="30" spans="1:37" ht="25.5">
      <c r="A30" s="73"/>
      <c r="B30" s="45"/>
      <c r="C30" s="82"/>
      <c r="D30" s="124" t="s">
        <v>74</v>
      </c>
      <c r="E30" s="129" t="s">
        <v>76</v>
      </c>
      <c r="F30" s="130">
        <f>F22+F23+F24+F29-F27-K8</f>
        <v>517.68559999999979</v>
      </c>
      <c r="G30" s="130">
        <f t="shared" ref="G30:M30" si="9">G22+G23+G24+G29-G27-L8-F29</f>
        <v>69.299999999999727</v>
      </c>
      <c r="H30" s="130">
        <f t="shared" si="9"/>
        <v>294.75999999999976</v>
      </c>
      <c r="I30" s="130">
        <f t="shared" si="9"/>
        <v>230.56999999999971</v>
      </c>
      <c r="J30" s="130">
        <f t="shared" si="9"/>
        <v>246.94000000000005</v>
      </c>
      <c r="K30" s="130">
        <f t="shared" si="9"/>
        <v>242.27999999999975</v>
      </c>
      <c r="L30" s="130">
        <f t="shared" si="9"/>
        <v>243.4699999999998</v>
      </c>
      <c r="M30" s="130">
        <f t="shared" si="9"/>
        <v>243.12999999999965</v>
      </c>
    </row>
    <row r="31" spans="1:37" ht="15">
      <c r="A31" s="73"/>
      <c r="B31" s="45"/>
      <c r="C31" s="82"/>
      <c r="D31" s="98"/>
      <c r="E31" s="93"/>
      <c r="F31" s="94"/>
      <c r="G31" s="94"/>
      <c r="H31" s="94"/>
      <c r="I31" s="94"/>
      <c r="J31" s="94"/>
      <c r="K31" s="94"/>
      <c r="L31" s="94"/>
      <c r="M31" s="94"/>
    </row>
    <row r="32" spans="1:37" ht="25.5" customHeight="1" thickBot="1">
      <c r="A32" s="73"/>
      <c r="B32" s="45"/>
      <c r="C32" s="82"/>
      <c r="D32" s="96">
        <v>15</v>
      </c>
      <c r="E32" s="112" t="s">
        <v>85</v>
      </c>
      <c r="F32" s="110">
        <f>F21-F30-F27</f>
        <v>7645.0744000000004</v>
      </c>
      <c r="G32" s="110">
        <f t="shared" ref="G32:M32" si="10">G21-G30-G27</f>
        <v>8093.46</v>
      </c>
      <c r="H32" s="110">
        <f t="shared" si="10"/>
        <v>8871.4635799999996</v>
      </c>
      <c r="I32" s="110">
        <f t="shared" si="10"/>
        <v>8665.22014519</v>
      </c>
      <c r="J32" s="110">
        <f t="shared" si="10"/>
        <v>8721.7319558712952</v>
      </c>
      <c r="K32" s="110">
        <f t="shared" si="10"/>
        <v>8706.7503078926857</v>
      </c>
      <c r="L32" s="110">
        <f t="shared" si="10"/>
        <v>8710.8537320229225</v>
      </c>
      <c r="M32" s="110">
        <f t="shared" si="10"/>
        <v>8709.7671542198223</v>
      </c>
      <c r="O32" s="29"/>
    </row>
    <row r="33" spans="1:17" ht="15">
      <c r="A33" s="73"/>
      <c r="B33" s="45"/>
      <c r="C33" s="82"/>
      <c r="D33" s="96"/>
      <c r="E33" s="91"/>
      <c r="F33" s="78"/>
      <c r="G33" s="78"/>
      <c r="H33" s="78"/>
      <c r="I33" s="78"/>
      <c r="J33" s="78"/>
      <c r="K33" s="78"/>
      <c r="L33" s="78"/>
      <c r="M33" s="78"/>
    </row>
    <row r="34" spans="1:17" ht="15">
      <c r="A34" s="73"/>
      <c r="B34" s="45"/>
      <c r="C34" s="82"/>
      <c r="D34" s="96"/>
      <c r="N34" s="87"/>
      <c r="O34" s="87"/>
      <c r="P34" s="87"/>
      <c r="Q34" s="87"/>
    </row>
    <row r="35" spans="1:17" ht="46.5" customHeight="1">
      <c r="A35" s="73"/>
      <c r="B35" s="45"/>
      <c r="C35" s="82"/>
      <c r="D35" s="84">
        <v>16</v>
      </c>
      <c r="E35" s="111" t="s">
        <v>94</v>
      </c>
      <c r="F35" s="108">
        <f>F32/F17</f>
        <v>0.50184287777340164</v>
      </c>
      <c r="G35" s="108">
        <f t="shared" ref="G35:M35" si="11">G32/G17</f>
        <v>0.53127609294998035</v>
      </c>
      <c r="H35" s="108">
        <f t="shared" si="11"/>
        <v>0.58234630300643297</v>
      </c>
      <c r="I35" s="108">
        <f t="shared" si="11"/>
        <v>0.56880793916174344</v>
      </c>
      <c r="J35" s="108">
        <f t="shared" si="11"/>
        <v>0.57251752368854503</v>
      </c>
      <c r="K35" s="108">
        <f t="shared" si="11"/>
        <v>0.57153408874180689</v>
      </c>
      <c r="L35" s="108">
        <f t="shared" si="11"/>
        <v>0.57180344834074581</v>
      </c>
      <c r="M35" s="108">
        <f t="shared" si="11"/>
        <v>0.57173212250359873</v>
      </c>
    </row>
    <row r="36" spans="1:17" ht="51">
      <c r="A36" s="73"/>
      <c r="B36" s="45"/>
      <c r="C36" s="82"/>
      <c r="D36" s="84">
        <v>17</v>
      </c>
      <c r="E36" s="107" t="s">
        <v>95</v>
      </c>
      <c r="F36" s="109">
        <f>(F17-F32)/F17</f>
        <v>0.49815712222659836</v>
      </c>
      <c r="G36" s="109">
        <f t="shared" ref="G36:M36" si="12">(G17-G32)/G17</f>
        <v>0.46872390705001971</v>
      </c>
      <c r="H36" s="109">
        <f t="shared" si="12"/>
        <v>0.41765369699356703</v>
      </c>
      <c r="I36" s="109">
        <f t="shared" si="12"/>
        <v>0.43119206083825651</v>
      </c>
      <c r="J36" s="109">
        <f t="shared" si="12"/>
        <v>0.42748247631145497</v>
      </c>
      <c r="K36" s="109">
        <f t="shared" si="12"/>
        <v>0.42846591125819317</v>
      </c>
      <c r="L36" s="109">
        <f t="shared" si="12"/>
        <v>0.42819655165925413</v>
      </c>
      <c r="M36" s="109">
        <f t="shared" si="12"/>
        <v>0.42826787749640133</v>
      </c>
    </row>
    <row r="37" spans="1:17" ht="38.25">
      <c r="C37" s="82"/>
      <c r="D37" s="97">
        <v>18</v>
      </c>
      <c r="E37" s="107" t="s">
        <v>86</v>
      </c>
      <c r="F37" s="109">
        <f>F32/F21</f>
        <v>0.6820137810939948</v>
      </c>
      <c r="G37" s="109">
        <f t="shared" ref="G37:M37" si="13">G32/G21</f>
        <v>0.72201406656461098</v>
      </c>
      <c r="H37" s="109">
        <f>H32/H21</f>
        <v>0.7263937158467354</v>
      </c>
      <c r="I37" s="109">
        <f t="shared" si="13"/>
        <v>0.72557293182166238</v>
      </c>
      <c r="J37" s="109">
        <f t="shared" si="13"/>
        <v>0.72587510402447974</v>
      </c>
      <c r="K37" s="109">
        <f t="shared" si="13"/>
        <v>0.72581472765282939</v>
      </c>
      <c r="L37" s="109">
        <f t="shared" si="13"/>
        <v>0.7258365071913655</v>
      </c>
      <c r="M37" s="109">
        <f t="shared" si="13"/>
        <v>0.72583224745442343</v>
      </c>
    </row>
    <row r="38" spans="1:17" ht="38.25">
      <c r="D38" s="97">
        <v>19</v>
      </c>
      <c r="E38" s="107" t="s">
        <v>92</v>
      </c>
      <c r="F38" s="109">
        <f>(F21-F32)/F21</f>
        <v>0.31798621890600515</v>
      </c>
      <c r="G38" s="109">
        <f t="shared" ref="G38:M38" si="14">(G21-G32)/G21</f>
        <v>0.27798593343538902</v>
      </c>
      <c r="H38" s="109">
        <f t="shared" si="14"/>
        <v>0.2736062841532646</v>
      </c>
      <c r="I38" s="109">
        <f t="shared" si="14"/>
        <v>0.27442706817833762</v>
      </c>
      <c r="J38" s="109">
        <f t="shared" si="14"/>
        <v>0.27412489597552026</v>
      </c>
      <c r="K38" s="109">
        <f t="shared" si="14"/>
        <v>0.27418527234717066</v>
      </c>
      <c r="L38" s="109">
        <f t="shared" si="14"/>
        <v>0.27416349280863445</v>
      </c>
      <c r="M38" s="109">
        <f t="shared" si="14"/>
        <v>0.27416775254557663</v>
      </c>
    </row>
    <row r="39" spans="1:17">
      <c r="E39" s="75"/>
      <c r="F39" s="76"/>
      <c r="G39" s="76"/>
      <c r="H39" s="76"/>
      <c r="I39" s="76"/>
      <c r="J39" s="76"/>
      <c r="K39" s="76"/>
      <c r="L39" s="76"/>
      <c r="M39" s="76"/>
    </row>
    <row r="40" spans="1:17">
      <c r="E40" s="91"/>
      <c r="F40" s="76"/>
      <c r="G40" s="76"/>
      <c r="H40" s="76"/>
      <c r="I40" s="76"/>
      <c r="J40" s="76"/>
      <c r="K40" s="76"/>
      <c r="L40" s="76"/>
      <c r="M40" s="76"/>
    </row>
    <row r="41" spans="1:17" ht="39" thickBot="1">
      <c r="E41" s="113" t="s">
        <v>87</v>
      </c>
      <c r="F41" s="74"/>
      <c r="G41" s="92">
        <f>G32-$F$32</f>
        <v>448.38559999999961</v>
      </c>
      <c r="H41" s="92">
        <f>H32-$F$32</f>
        <v>1226.3891799999992</v>
      </c>
      <c r="I41" s="92">
        <f>I32-$F$32</f>
        <v>1020.1457451899996</v>
      </c>
      <c r="J41" s="92">
        <f t="shared" ref="J41:M41" si="15">J32-$F$32</f>
        <v>1076.6575558712948</v>
      </c>
      <c r="K41" s="92">
        <f t="shared" si="15"/>
        <v>1061.6759078926852</v>
      </c>
      <c r="L41" s="92">
        <f t="shared" si="15"/>
        <v>1065.7793320229221</v>
      </c>
      <c r="M41" s="92">
        <f t="shared" si="15"/>
        <v>1064.6927542198218</v>
      </c>
      <c r="O41" s="29"/>
    </row>
    <row r="68" spans="5:11">
      <c r="E68" s="90"/>
      <c r="F68" s="74"/>
      <c r="G68" s="74"/>
      <c r="H68" s="74"/>
      <c r="I68" s="74"/>
      <c r="J68" s="74"/>
      <c r="K68" s="74"/>
    </row>
  </sheetData>
  <mergeCells count="12">
    <mergeCell ref="K7:L7"/>
    <mergeCell ref="K8:L8"/>
    <mergeCell ref="E5:J5"/>
    <mergeCell ref="E6:J6"/>
    <mergeCell ref="E7:J7"/>
    <mergeCell ref="E8:J8"/>
    <mergeCell ref="K6:L6"/>
    <mergeCell ref="E3:J3"/>
    <mergeCell ref="K3:L3"/>
    <mergeCell ref="K4:L4"/>
    <mergeCell ref="E4:J4"/>
    <mergeCell ref="K5:L5"/>
  </mergeCells>
  <conditionalFormatting sqref="G41:M41">
    <cfRule type="cellIs" dxfId="1" priority="1" operator="greaterThan">
      <formula>0</formula>
    </cfRule>
    <cfRule type="cellIs" dxfId="0" priority="2" operator="lessThan">
      <formula>0</formula>
    </cfRule>
  </conditionalFormatting>
  <pageMargins left="0.7" right="0.7" top="0.75" bottom="0.75" header="0.3" footer="0.3"/>
  <pageSetup paperSize="9" orientation="portrait" r:id="rId1"/>
  <drawing r:id="rId2"/>
  <legacyDrawing r:id="rId3"/>
  <extLst xmlns:x14="http://schemas.microsoft.com/office/spreadsheetml/2009/9/main">
    <ext uri="{CCE6A557-97BC-4b89-ADB6-D9C93CAAB3DF}">
      <x14:dataValidations xmlns:xm="http://schemas.microsoft.com/office/excel/2006/main" count="1">
        <x14:dataValidation type="list" allowBlank="1" showInputMessage="1" showErrorMessage="1">
          <x14:formula1>
            <xm:f>'Παλαιές ασφ.εισφ ΟΑΕΕ'!$G$26:$G$39</xm:f>
          </x14:formula1>
          <xm:sqref>K5</xm:sqref>
        </x14:dataValidation>
      </x14:dataValidations>
    </ext>
  </extLst>
</worksheet>
</file>

<file path=xl/worksheets/sheet6.xml><?xml version="1.0" encoding="utf-8"?>
<worksheet xmlns="http://schemas.openxmlformats.org/spreadsheetml/2006/main" xmlns:r="http://schemas.openxmlformats.org/officeDocument/2006/relationships">
  <sheetPr codeName="Sheet13"/>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6</vt:i4>
      </vt:variant>
    </vt:vector>
  </HeadingPairs>
  <TitlesOfParts>
    <vt:vector size="6" baseType="lpstr">
      <vt:lpstr>Παλαιές ασφ.εισφ ΟΑΕΕ</vt:lpstr>
      <vt:lpstr>Νεες κλιμακες φόρου</vt:lpstr>
      <vt:lpstr>Εισφορ.Αλληλεγγύης</vt:lpstr>
      <vt:lpstr>4172_el</vt:lpstr>
      <vt:lpstr>Υπολογισμοί</vt:lpstr>
      <vt:lpstr>Macro1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dc:creator>
  <cp:lastModifiedBy>BasilisTr</cp:lastModifiedBy>
  <dcterms:created xsi:type="dcterms:W3CDTF">2016-04-12T22:47:42Z</dcterms:created>
  <dcterms:modified xsi:type="dcterms:W3CDTF">2016-05-28T18:39:31Z</dcterms:modified>
</cp:coreProperties>
</file>